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/>
  <mc:AlternateContent xmlns:mc="http://schemas.openxmlformats.org/markup-compatibility/2006">
    <mc:Choice Requires="x15">
      <x15ac:absPath xmlns:x15ac="http://schemas.microsoft.com/office/spreadsheetml/2010/11/ac" url="G:\Meu Drive\Nicola\DF's Apoema\"/>
    </mc:Choice>
  </mc:AlternateContent>
  <xr:revisionPtr revIDLastSave="0" documentId="13_ncr:1_{C940113D-043A-472B-845C-DA7C19B7D8A7}" xr6:coauthVersionLast="47" xr6:coauthVersionMax="47" xr10:uidLastSave="{00000000-0000-0000-0000-000000000000}"/>
  <bookViews>
    <workbookView xWindow="20370" yWindow="-120" windowWidth="24240" windowHeight="13140" activeTab="3" xr2:uid="{00000000-000D-0000-FFFF-FFFF00000000}"/>
  </bookViews>
  <sheets>
    <sheet name="Balanço" sheetId="1" r:id="rId1"/>
    <sheet name="DRE" sheetId="2" r:id="rId2"/>
    <sheet name="DFC" sheetId="3" r:id="rId3"/>
    <sheet name="DMPL" sheetId="4" r:id="rId4"/>
  </sheets>
  <externalReferences>
    <externalReference r:id="rId5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6" i="2" l="1"/>
  <c r="D23" i="2"/>
  <c r="D15" i="2"/>
  <c r="D19" i="2" s="1"/>
  <c r="D21" i="2" s="1"/>
  <c r="D19" i="1"/>
  <c r="D14" i="1" s="1"/>
  <c r="D7" i="1"/>
  <c r="C19" i="1"/>
  <c r="C44" i="1"/>
  <c r="J41" i="1"/>
  <c r="C30" i="1"/>
  <c r="J12" i="1"/>
  <c r="J11" i="1"/>
  <c r="J8" i="1"/>
  <c r="H17" i="4"/>
  <c r="E17" i="4"/>
  <c r="I15" i="4"/>
  <c r="G15" i="4"/>
  <c r="G17" i="4" s="1"/>
  <c r="F13" i="4"/>
  <c r="F17" i="4" s="1"/>
  <c r="I11" i="4"/>
  <c r="D9" i="4"/>
  <c r="D13" i="4" s="1"/>
  <c r="D17" i="4" s="1"/>
  <c r="C9" i="4"/>
  <c r="C13" i="4" s="1"/>
  <c r="C17" i="4" s="1"/>
  <c r="I17" i="4" s="1"/>
  <c r="I7" i="4"/>
  <c r="E49" i="3"/>
  <c r="D49" i="3"/>
  <c r="D47" i="3"/>
  <c r="L43" i="3"/>
  <c r="H43" i="3"/>
  <c r="G43" i="3"/>
  <c r="E43" i="3"/>
  <c r="D43" i="3"/>
  <c r="K40" i="3"/>
  <c r="K43" i="3" s="1"/>
  <c r="L36" i="3"/>
  <c r="K36" i="3"/>
  <c r="H36" i="3"/>
  <c r="G36" i="3"/>
  <c r="E36" i="3"/>
  <c r="D36" i="3"/>
  <c r="K13" i="3"/>
  <c r="K30" i="3" s="1"/>
  <c r="G13" i="3"/>
  <c r="G30" i="3" s="1"/>
  <c r="D11" i="3"/>
  <c r="D13" i="3" s="1"/>
  <c r="D30" i="3" s="1"/>
  <c r="D45" i="3" s="1"/>
  <c r="G9" i="3"/>
  <c r="L8" i="3"/>
  <c r="L13" i="3" s="1"/>
  <c r="L30" i="3" s="1"/>
  <c r="H8" i="3"/>
  <c r="H13" i="3" s="1"/>
  <c r="H30" i="3" s="1"/>
  <c r="G8" i="3"/>
  <c r="D8" i="3"/>
  <c r="K25" i="2"/>
  <c r="G23" i="2"/>
  <c r="F23" i="2"/>
  <c r="C23" i="2"/>
  <c r="J23" i="2" s="1"/>
  <c r="K19" i="2"/>
  <c r="F19" i="2"/>
  <c r="J17" i="2"/>
  <c r="K15" i="2"/>
  <c r="G15" i="2"/>
  <c r="G19" i="2" s="1"/>
  <c r="F15" i="2"/>
  <c r="C15" i="2"/>
  <c r="C19" i="2" s="1"/>
  <c r="J14" i="2"/>
  <c r="F11" i="2"/>
  <c r="F13" i="2" s="1"/>
  <c r="G9" i="2"/>
  <c r="G11" i="2" s="1"/>
  <c r="G13" i="2" s="1"/>
  <c r="F9" i="2"/>
  <c r="D9" i="2"/>
  <c r="D11" i="2" s="1"/>
  <c r="D13" i="2" s="1"/>
  <c r="C9" i="2"/>
  <c r="C11" i="2" s="1"/>
  <c r="C13" i="2" s="1"/>
  <c r="K8" i="2"/>
  <c r="K9" i="2" s="1"/>
  <c r="K11" i="2" s="1"/>
  <c r="K13" i="2" s="1"/>
  <c r="J7" i="2"/>
  <c r="J9" i="2" s="1"/>
  <c r="J11" i="2" s="1"/>
  <c r="J13" i="2" s="1"/>
  <c r="F48" i="1"/>
  <c r="K46" i="1"/>
  <c r="J46" i="1"/>
  <c r="D46" i="1"/>
  <c r="N44" i="1"/>
  <c r="K44" i="1"/>
  <c r="J44" i="1"/>
  <c r="G44" i="1"/>
  <c r="F44" i="1"/>
  <c r="D44" i="1"/>
  <c r="K42" i="1"/>
  <c r="J42" i="1"/>
  <c r="K41" i="1"/>
  <c r="K40" i="1"/>
  <c r="J40" i="1"/>
  <c r="G39" i="1"/>
  <c r="G38" i="1" s="1"/>
  <c r="F39" i="1"/>
  <c r="D39" i="1"/>
  <c r="C39" i="1"/>
  <c r="N38" i="1"/>
  <c r="K36" i="1"/>
  <c r="J36" i="1"/>
  <c r="K35" i="1"/>
  <c r="J35" i="1"/>
  <c r="K34" i="1"/>
  <c r="J34" i="1"/>
  <c r="K33" i="1"/>
  <c r="J33" i="1"/>
  <c r="K32" i="1"/>
  <c r="J32" i="1"/>
  <c r="K31" i="1"/>
  <c r="G30" i="1"/>
  <c r="F30" i="1"/>
  <c r="D30" i="1"/>
  <c r="K22" i="1"/>
  <c r="K21" i="1"/>
  <c r="J21" i="1"/>
  <c r="G19" i="1"/>
  <c r="G14" i="1" s="1"/>
  <c r="F19" i="1"/>
  <c r="F14" i="1" s="1"/>
  <c r="K17" i="1"/>
  <c r="J17" i="1"/>
  <c r="K16" i="1"/>
  <c r="K15" i="1"/>
  <c r="J15" i="1"/>
  <c r="K12" i="1"/>
  <c r="K11" i="1"/>
  <c r="K10" i="1"/>
  <c r="J10" i="1"/>
  <c r="K9" i="1"/>
  <c r="J9" i="1"/>
  <c r="K8" i="1"/>
  <c r="G7" i="1"/>
  <c r="F7" i="1"/>
  <c r="F38" i="1" l="1"/>
  <c r="F52" i="1" s="1"/>
  <c r="F54" i="1" s="1"/>
  <c r="D38" i="1"/>
  <c r="D52" i="1" s="1"/>
  <c r="D54" i="1" s="1"/>
  <c r="F24" i="1"/>
  <c r="D24" i="1"/>
  <c r="K19" i="1"/>
  <c r="K14" i="1" s="1"/>
  <c r="K30" i="1"/>
  <c r="G52" i="1"/>
  <c r="C7" i="1"/>
  <c r="J39" i="1"/>
  <c r="J38" i="1" s="1"/>
  <c r="J31" i="1"/>
  <c r="J30" i="1" s="1"/>
  <c r="C14" i="1"/>
  <c r="J22" i="1"/>
  <c r="J19" i="1" s="1"/>
  <c r="J16" i="1"/>
  <c r="K45" i="3"/>
  <c r="F21" i="2"/>
  <c r="F28" i="2" s="1"/>
  <c r="F31" i="2" s="1"/>
  <c r="G24" i="1"/>
  <c r="K7" i="1"/>
  <c r="C38" i="1"/>
  <c r="C52" i="1" s="1"/>
  <c r="J7" i="1"/>
  <c r="K39" i="1"/>
  <c r="K38" i="1" s="1"/>
  <c r="G45" i="3"/>
  <c r="I9" i="4"/>
  <c r="I13" i="4" s="1"/>
  <c r="H45" i="3"/>
  <c r="L45" i="3"/>
  <c r="C21" i="2"/>
  <c r="C28" i="2" s="1"/>
  <c r="C31" i="2" s="1"/>
  <c r="K21" i="2"/>
  <c r="K28" i="2" s="1"/>
  <c r="K31" i="2" s="1"/>
  <c r="G21" i="2"/>
  <c r="G28" i="2" s="1"/>
  <c r="G31" i="2" s="1"/>
  <c r="D28" i="2"/>
  <c r="D31" i="2" s="1"/>
  <c r="E8" i="3" s="1"/>
  <c r="E13" i="3" s="1"/>
  <c r="E30" i="3" s="1"/>
  <c r="E45" i="3" s="1"/>
  <c r="J15" i="2"/>
  <c r="J19" i="2" s="1"/>
  <c r="J21" i="2" s="1"/>
  <c r="J28" i="2" s="1"/>
  <c r="J31" i="2" s="1"/>
  <c r="K52" i="1" l="1"/>
  <c r="K24" i="1"/>
  <c r="G54" i="1"/>
  <c r="C24" i="1"/>
  <c r="C54" i="1" s="1"/>
  <c r="J52" i="1"/>
  <c r="J14" i="1"/>
  <c r="J24" i="1" s="1"/>
  <c r="J33" i="2"/>
  <c r="J34" i="2" s="1"/>
  <c r="C33" i="2"/>
  <c r="C34" i="2" s="1"/>
  <c r="K54" i="1" l="1"/>
  <c r="J54" i="1"/>
</calcChain>
</file>

<file path=xl/sharedStrings.xml><?xml version="1.0" encoding="utf-8"?>
<sst xmlns="http://schemas.openxmlformats.org/spreadsheetml/2006/main" count="133" uniqueCount="99">
  <si>
    <t>ATIVO</t>
  </si>
  <si>
    <t>Circulante</t>
  </si>
  <si>
    <t>Caixa e equivalentes de caixa</t>
  </si>
  <si>
    <t>Contas a receber de clientes</t>
  </si>
  <si>
    <t>Impostos e contribuições a compensar</t>
  </si>
  <si>
    <t>Adiantamentos concedidos</t>
  </si>
  <si>
    <t xml:space="preserve">Despesas antecipadas </t>
  </si>
  <si>
    <t>Permanente</t>
  </si>
  <si>
    <t>Imobilizado</t>
  </si>
  <si>
    <t>Intangível</t>
  </si>
  <si>
    <t>TOTAL DO ATIVO</t>
  </si>
  <si>
    <t>PASSIVO</t>
  </si>
  <si>
    <t>Fornecedores</t>
  </si>
  <si>
    <t>Empréstimos e financiamentos</t>
  </si>
  <si>
    <t>Obrigações trabalhistas e sociais</t>
  </si>
  <si>
    <t>Obrigações tributárias</t>
  </si>
  <si>
    <t>Outras contas e despesas a pagar</t>
  </si>
  <si>
    <t>Exigível a longo prazo</t>
  </si>
  <si>
    <t>Capital social</t>
  </si>
  <si>
    <t>TOTAL DO PASSIVO</t>
  </si>
  <si>
    <t xml:space="preserve">Receita Bruta </t>
  </si>
  <si>
    <t>(-) Impostos incidentes sobre serviços prestados</t>
  </si>
  <si>
    <t xml:space="preserve">Receita Líquida de vendas </t>
  </si>
  <si>
    <t xml:space="preserve">Lucro Bruto </t>
  </si>
  <si>
    <t>Receitas/Despesas operacionais líquidas</t>
  </si>
  <si>
    <t>(-) Despesas operacionais</t>
  </si>
  <si>
    <t>Lucro Operacional</t>
  </si>
  <si>
    <t>Resultado Financeiro</t>
  </si>
  <si>
    <t>Resultado antes IRPJ e CSLL</t>
  </si>
  <si>
    <t>IRPJ e CSLL</t>
  </si>
  <si>
    <t>Atividades Operacionais</t>
  </si>
  <si>
    <t>Depreciação e amortização</t>
  </si>
  <si>
    <t>(Aumento) redução no ativo circulante e não circulante</t>
  </si>
  <si>
    <t>Aumento (redução) no passivo circulante e não circulante</t>
  </si>
  <si>
    <t>Atividades de investimento</t>
  </si>
  <si>
    <t>Aquisição de bens do ativo imobilizado</t>
  </si>
  <si>
    <t>Aquisição de intangíveis</t>
  </si>
  <si>
    <t>Atividades de financiamento</t>
  </si>
  <si>
    <t>Aumento (redução) líquido de caixa e equivalente de caixa</t>
  </si>
  <si>
    <t>Caixa e equivalentes de caixa no início do exercício</t>
  </si>
  <si>
    <t>Caixa e equivalentes de caixa no final do exercício</t>
  </si>
  <si>
    <t>Descrição</t>
  </si>
  <si>
    <t>Capital Social</t>
  </si>
  <si>
    <t>Lucros/Prejuízos Acumulados</t>
  </si>
  <si>
    <t>Totais</t>
  </si>
  <si>
    <t>Saldo em 31/12/2017</t>
  </si>
  <si>
    <t>Adiantamento de clientes</t>
  </si>
  <si>
    <t>Outras obrigações a longo prazo</t>
  </si>
  <si>
    <t>AFAC- Adiantamento p/ futuro aumento de capital</t>
  </si>
  <si>
    <t>Acervo líquido avaliado</t>
  </si>
  <si>
    <t>Receita de Exportação de Serviços</t>
  </si>
  <si>
    <t>Receita de Prestação de Serviços</t>
  </si>
  <si>
    <t>Despesas com Pessoal</t>
  </si>
  <si>
    <t>Despesas Gerais e Administrativas</t>
  </si>
  <si>
    <t>Pagamento de empréstimos e financiamentos</t>
  </si>
  <si>
    <t>Integralização de Capital</t>
  </si>
  <si>
    <t>Equivalência Patrimonial</t>
  </si>
  <si>
    <t>CONTROLADORA</t>
  </si>
  <si>
    <t>SERVICING</t>
  </si>
  <si>
    <t>CONSOLIDADO</t>
  </si>
  <si>
    <t>Não circulante</t>
  </si>
  <si>
    <t>AFAC - Adiantamento p/ futuro aumento de capital</t>
  </si>
  <si>
    <t>Outros Valores a Receber</t>
  </si>
  <si>
    <t>Empréstimos</t>
  </si>
  <si>
    <t>Provisão para perda de Investimento</t>
  </si>
  <si>
    <t>Patrimônio Líquido</t>
  </si>
  <si>
    <t>Controladores</t>
  </si>
  <si>
    <t>Não controladores</t>
  </si>
  <si>
    <t>Prejuízos acumulados</t>
  </si>
  <si>
    <t>Participação de não controladores</t>
  </si>
  <si>
    <t>(-) Custo dos Serviços Prestados</t>
  </si>
  <si>
    <t>Despesas Tributárias</t>
  </si>
  <si>
    <t>Ganho de Capital</t>
  </si>
  <si>
    <t>Prejuízo do exercício</t>
  </si>
  <si>
    <t>Acionistas controladores</t>
  </si>
  <si>
    <t>Acionistas não controladores</t>
  </si>
  <si>
    <t>Resultado Venda Imobilizado</t>
  </si>
  <si>
    <t>Provisão p/ perda estimada com créditos de liquidação duvidosa</t>
  </si>
  <si>
    <t>Prejuízo líquido ajustado</t>
  </si>
  <si>
    <t>Outros valores a receber</t>
  </si>
  <si>
    <t>Caixa líquido gerado (consumido) nas atividades operacionais</t>
  </si>
  <si>
    <t>Caixa líquido consumido nas atividades investimento</t>
  </si>
  <si>
    <t>Acervo patrimonial incorporado</t>
  </si>
  <si>
    <t>AFAC</t>
  </si>
  <si>
    <t>Caixa líquido consumido nas atividades financiamento</t>
  </si>
  <si>
    <t>Integralizado</t>
  </si>
  <si>
    <t>A integralizar</t>
  </si>
  <si>
    <t>Ágio na subscrição</t>
  </si>
  <si>
    <t>Controlador</t>
  </si>
  <si>
    <t>Não controlador</t>
  </si>
  <si>
    <t>Aumento de Capital</t>
  </si>
  <si>
    <t>Resultado Líquido do Exercício</t>
  </si>
  <si>
    <t>-</t>
  </si>
  <si>
    <t>Saldo em 31/12/2018</t>
  </si>
  <si>
    <t>Investimentos</t>
  </si>
  <si>
    <t>31/12/207</t>
  </si>
  <si>
    <t>APOEMA PARTICIPAÇÕES S.A.</t>
  </si>
  <si>
    <t>CNPJ: 24.082.236/0001-82</t>
  </si>
  <si>
    <t>BALANÇO PATRIMONIAL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</si>
</sst>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0" fillId="0" borderId="0"/>
  </cellStyleXfs>
  <cellXfs count="8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3" fontId="2" fillId="0" borderId="0" xfId="0" applyNumberFormat="1" applyFont="1"/>
    <xf numFmtId="0" fontId="3" fillId="0" borderId="0" xfId="0" applyFont="1" applyAlignment="1">
      <alignment vertical="center"/>
    </xf>
    <xf numFmtId="14" fontId="3" fillId="0" borderId="2" xfId="0" applyNumberFormat="1" applyFont="1" applyBorder="1" applyAlignment="1">
      <alignment vertical="center"/>
    </xf>
    <xf numFmtId="14" fontId="3" fillId="0" borderId="0" xfId="0" applyNumberFormat="1" applyFont="1" applyAlignment="1">
      <alignment vertical="center"/>
    </xf>
    <xf numFmtId="0" fontId="3" fillId="0" borderId="3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2" borderId="3" xfId="0" applyFont="1" applyFill="1" applyBorder="1" applyAlignment="1">
      <alignment vertical="center"/>
    </xf>
    <xf numFmtId="3" fontId="4" fillId="0" borderId="0" xfId="0" applyNumberFormat="1" applyFont="1" applyAlignment="1">
      <alignment vertical="center"/>
    </xf>
    <xf numFmtId="3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3" fontId="5" fillId="0" borderId="1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3" fontId="4" fillId="0" borderId="4" xfId="0" applyNumberFormat="1" applyFont="1" applyBorder="1" applyAlignment="1">
      <alignment vertical="center"/>
    </xf>
    <xf numFmtId="3" fontId="5" fillId="0" borderId="5" xfId="0" applyNumberFormat="1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14" fontId="3" fillId="2" borderId="2" xfId="0" applyNumberFormat="1" applyFont="1" applyFill="1" applyBorder="1" applyAlignment="1">
      <alignment horizontal="center" vertical="center"/>
    </xf>
    <xf numFmtId="14" fontId="3" fillId="0" borderId="2" xfId="0" applyNumberFormat="1" applyFont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3" fontId="5" fillId="0" borderId="0" xfId="0" applyNumberFormat="1" applyFont="1" applyAlignment="1">
      <alignment horizontal="right" vertical="center"/>
    </xf>
    <xf numFmtId="0" fontId="5" fillId="0" borderId="0" xfId="0" applyFont="1" applyAlignment="1">
      <alignment vertical="center" wrapText="1"/>
    </xf>
    <xf numFmtId="3" fontId="4" fillId="0" borderId="4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3" fontId="4" fillId="0" borderId="1" xfId="0" applyNumberFormat="1" applyFont="1" applyBorder="1" applyAlignment="1">
      <alignment horizontal="right" vertical="center"/>
    </xf>
    <xf numFmtId="3" fontId="4" fillId="0" borderId="0" xfId="0" applyNumberFormat="1" applyFont="1" applyAlignment="1">
      <alignment horizontal="right" vertical="center"/>
    </xf>
    <xf numFmtId="0" fontId="6" fillId="0" borderId="0" xfId="0" applyFont="1"/>
    <xf numFmtId="0" fontId="7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3" fontId="8" fillId="0" borderId="0" xfId="0" applyNumberFormat="1" applyFont="1" applyAlignment="1">
      <alignment horizontal="right" vertical="center" wrapText="1"/>
    </xf>
    <xf numFmtId="0" fontId="8" fillId="0" borderId="0" xfId="0" applyFont="1" applyAlignment="1">
      <alignment horizontal="right" vertical="center"/>
    </xf>
    <xf numFmtId="3" fontId="8" fillId="0" borderId="0" xfId="0" applyNumberFormat="1" applyFont="1" applyAlignment="1">
      <alignment horizontal="right" vertical="center"/>
    </xf>
    <xf numFmtId="3" fontId="7" fillId="0" borderId="0" xfId="0" applyNumberFormat="1" applyFont="1" applyAlignment="1">
      <alignment vertical="center"/>
    </xf>
    <xf numFmtId="3" fontId="8" fillId="0" borderId="0" xfId="0" applyNumberFormat="1" applyFont="1" applyAlignment="1">
      <alignment vertical="center" wrapText="1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right" vertical="center" wrapText="1"/>
    </xf>
    <xf numFmtId="3" fontId="9" fillId="0" borderId="0" xfId="0" applyNumberFormat="1" applyFont="1" applyAlignment="1">
      <alignment horizontal="right" vertical="center" wrapText="1"/>
    </xf>
    <xf numFmtId="3" fontId="7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right" vertical="center" wrapText="1"/>
    </xf>
    <xf numFmtId="3" fontId="8" fillId="0" borderId="5" xfId="0" applyNumberFormat="1" applyFont="1" applyBorder="1" applyAlignment="1">
      <alignment vertical="center"/>
    </xf>
    <xf numFmtId="3" fontId="8" fillId="0" borderId="0" xfId="0" applyNumberFormat="1" applyFont="1" applyAlignment="1">
      <alignment vertical="center"/>
    </xf>
    <xf numFmtId="43" fontId="6" fillId="0" borderId="0" xfId="1" applyFont="1"/>
    <xf numFmtId="3" fontId="6" fillId="0" borderId="0" xfId="0" applyNumberFormat="1" applyFont="1"/>
    <xf numFmtId="0" fontId="6" fillId="0" borderId="1" xfId="0" applyFont="1" applyBorder="1"/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right" vertical="center" wrapText="1"/>
    </xf>
    <xf numFmtId="0" fontId="6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1" fillId="3" borderId="0" xfId="2" applyFont="1" applyFill="1" applyAlignment="1">
      <alignment vertical="center"/>
    </xf>
    <xf numFmtId="0" fontId="12" fillId="3" borderId="0" xfId="2" applyFont="1" applyFill="1" applyAlignment="1">
      <alignment vertical="center"/>
    </xf>
    <xf numFmtId="0" fontId="12" fillId="0" borderId="0" xfId="2" applyFont="1"/>
    <xf numFmtId="0" fontId="13" fillId="0" borderId="0" xfId="0" applyFont="1"/>
    <xf numFmtId="0" fontId="14" fillId="0" borderId="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vertical="center"/>
    </xf>
    <xf numFmtId="14" fontId="14" fillId="2" borderId="2" xfId="0" applyNumberFormat="1" applyFont="1" applyFill="1" applyBorder="1" applyAlignment="1">
      <alignment vertical="center"/>
    </xf>
    <xf numFmtId="14" fontId="14" fillId="0" borderId="2" xfId="0" applyNumberFormat="1" applyFont="1" applyBorder="1" applyAlignment="1">
      <alignment vertical="center"/>
    </xf>
    <xf numFmtId="14" fontId="14" fillId="0" borderId="0" xfId="0" applyNumberFormat="1" applyFont="1" applyAlignment="1">
      <alignment vertical="center"/>
    </xf>
    <xf numFmtId="0" fontId="13" fillId="0" borderId="3" xfId="0" applyFont="1" applyBorder="1"/>
    <xf numFmtId="0" fontId="14" fillId="0" borderId="3" xfId="0" applyFont="1" applyBorder="1" applyAlignment="1">
      <alignment vertical="center"/>
    </xf>
    <xf numFmtId="3" fontId="14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3" fontId="13" fillId="0" borderId="0" xfId="0" applyNumberFormat="1" applyFont="1" applyAlignment="1">
      <alignment vertical="center"/>
    </xf>
    <xf numFmtId="3" fontId="13" fillId="0" borderId="0" xfId="0" applyNumberFormat="1" applyFont="1"/>
    <xf numFmtId="3" fontId="14" fillId="0" borderId="0" xfId="0" applyNumberFormat="1" applyFont="1" applyFill="1" applyAlignment="1">
      <alignment vertical="center"/>
    </xf>
    <xf numFmtId="3" fontId="13" fillId="0" borderId="0" xfId="0" applyNumberFormat="1" applyFont="1" applyFill="1" applyAlignment="1">
      <alignment vertical="center"/>
    </xf>
    <xf numFmtId="0" fontId="13" fillId="0" borderId="0" xfId="0" applyFont="1" applyFill="1" applyAlignment="1">
      <alignment vertical="center"/>
    </xf>
    <xf numFmtId="3" fontId="14" fillId="0" borderId="1" xfId="0" applyNumberFormat="1" applyFont="1" applyBorder="1" applyAlignment="1">
      <alignment vertical="center"/>
    </xf>
    <xf numFmtId="3" fontId="14" fillId="0" borderId="1" xfId="0" applyNumberFormat="1" applyFont="1" applyFill="1" applyBorder="1" applyAlignment="1">
      <alignment vertical="center"/>
    </xf>
    <xf numFmtId="0" fontId="13" fillId="0" borderId="0" xfId="0" applyFont="1" applyAlignment="1">
      <alignment vertical="center" wrapText="1"/>
    </xf>
    <xf numFmtId="0" fontId="14" fillId="2" borderId="3" xfId="0" applyFont="1" applyFill="1" applyBorder="1" applyAlignment="1">
      <alignment vertical="center"/>
    </xf>
    <xf numFmtId="43" fontId="13" fillId="0" borderId="0" xfId="1" applyFont="1"/>
    <xf numFmtId="4" fontId="13" fillId="0" borderId="0" xfId="0" applyNumberFormat="1" applyFont="1"/>
    <xf numFmtId="3" fontId="15" fillId="0" borderId="0" xfId="0" applyNumberFormat="1" applyFont="1" applyAlignment="1">
      <alignment vertical="center"/>
    </xf>
    <xf numFmtId="3" fontId="16" fillId="0" borderId="0" xfId="0" applyNumberFormat="1" applyFont="1" applyAlignment="1">
      <alignment vertical="center"/>
    </xf>
    <xf numFmtId="0" fontId="16" fillId="0" borderId="0" xfId="0" applyFont="1" applyAlignment="1">
      <alignment vertical="center"/>
    </xf>
  </cellXfs>
  <cellStyles count="3">
    <cellStyle name="Normal" xfId="0" builtinId="0"/>
    <cellStyle name="Normal 2 2 2" xfId="2" xr:uid="{2B3BE800-C2E8-49ED-A434-69D460A53C9A}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421216</xdr:colOff>
      <xdr:row>46</xdr:row>
      <xdr:rowOff>6513</xdr:rowOff>
    </xdr:from>
    <xdr:to>
      <xdr:col>1</xdr:col>
      <xdr:colOff>897467</xdr:colOff>
      <xdr:row>46</xdr:row>
      <xdr:rowOff>0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679BB72F-D5F2-4FD0-A862-F003DBD25F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1216" y="23441025"/>
          <a:ext cx="1085851" cy="72568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421216</xdr:colOff>
      <xdr:row>0</xdr:row>
      <xdr:rowOff>6513</xdr:rowOff>
    </xdr:from>
    <xdr:to>
      <xdr:col>2</xdr:col>
      <xdr:colOff>587905</xdr:colOff>
      <xdr:row>0</xdr:row>
      <xdr:rowOff>0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3BDC10A2-AC66-42C4-8777-0824F6079E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1216" y="23441025"/>
          <a:ext cx="1085851" cy="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POEMA%20(incorpora&#231;&#227;o)\Demonstrativos%20%20Apoema%20Participa&#231;&#245;es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ço"/>
      <sheetName val="Planilha5"/>
      <sheetName val="Planilha1"/>
      <sheetName val="DRE"/>
      <sheetName val="Fluxo"/>
      <sheetName val="DMPL"/>
      <sheetName val="Planilha2"/>
      <sheetName val="Planilha3"/>
      <sheetName val="Resultado Financeiro"/>
      <sheetName val="Planilha7"/>
      <sheetName val="Planilha6"/>
      <sheetName val="Planilha4"/>
      <sheetName val="Planilha8"/>
    </sheetNames>
    <sheetDataSet>
      <sheetData sheetId="0">
        <row r="5">
          <cell r="C5">
            <v>742329.33</v>
          </cell>
          <cell r="D5">
            <v>621955.24</v>
          </cell>
        </row>
      </sheetData>
      <sheetData sheetId="1"/>
      <sheetData sheetId="2"/>
      <sheetData sheetId="3">
        <row r="2">
          <cell r="C2">
            <v>43830</v>
          </cell>
        </row>
        <row r="23">
          <cell r="C23">
            <v>-5818707</v>
          </cell>
        </row>
        <row r="25">
          <cell r="F25">
            <v>-5818707.9900000002</v>
          </cell>
        </row>
        <row r="28">
          <cell r="C28">
            <v>-5969765.8200000003</v>
          </cell>
          <cell r="G28">
            <v>-2686351.5400000005</v>
          </cell>
          <cell r="K28">
            <v>-2687689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</sheetPr>
  <dimension ref="A1:N54"/>
  <sheetViews>
    <sheetView showGridLines="0" topLeftCell="A2" zoomScaleNormal="100" workbookViewId="0">
      <selection activeCell="A2" sqref="A2:XFD4"/>
    </sheetView>
  </sheetViews>
  <sheetFormatPr defaultRowHeight="12" x14ac:dyDescent="0.2"/>
  <cols>
    <col min="1" max="1" width="9.140625" style="63"/>
    <col min="2" max="2" width="36.28515625" style="63" customWidth="1"/>
    <col min="3" max="4" width="11.7109375" style="63" customWidth="1"/>
    <col min="5" max="5" width="8.42578125" style="63" hidden="1" customWidth="1"/>
    <col min="6" max="7" width="11.7109375" style="63" hidden="1" customWidth="1"/>
    <col min="8" max="9" width="8.7109375" style="63" hidden="1" customWidth="1"/>
    <col min="10" max="11" width="11.7109375" style="63" hidden="1" customWidth="1"/>
    <col min="12" max="12" width="0" style="63" hidden="1" customWidth="1"/>
    <col min="13" max="13" width="9.140625" style="63"/>
    <col min="14" max="14" width="13.5703125" style="63" hidden="1" customWidth="1"/>
    <col min="15" max="16384" width="9.140625" style="63"/>
  </cols>
  <sheetData>
    <row r="1" spans="1:12" ht="12.75" hidden="1" thickBot="1" x14ac:dyDescent="0.25">
      <c r="C1" s="64" t="s">
        <v>57</v>
      </c>
      <c r="D1" s="64"/>
      <c r="E1" s="65"/>
      <c r="F1" s="64" t="s">
        <v>58</v>
      </c>
      <c r="G1" s="64"/>
      <c r="H1" s="66"/>
      <c r="J1" s="64" t="s">
        <v>59</v>
      </c>
      <c r="K1" s="64"/>
    </row>
    <row r="2" spans="1:12" s="62" customFormat="1" x14ac:dyDescent="0.2">
      <c r="A2" s="60" t="s">
        <v>96</v>
      </c>
      <c r="B2" s="61"/>
      <c r="C2" s="60"/>
      <c r="D2" s="60"/>
      <c r="E2" s="60"/>
      <c r="G2" s="60"/>
      <c r="H2" s="60"/>
      <c r="I2" s="60"/>
    </row>
    <row r="3" spans="1:12" s="62" customFormat="1" x14ac:dyDescent="0.2">
      <c r="A3" s="60" t="s">
        <v>97</v>
      </c>
      <c r="B3" s="61"/>
      <c r="C3" s="61"/>
      <c r="D3" s="61"/>
      <c r="E3" s="61"/>
      <c r="G3" s="61"/>
      <c r="H3" s="61"/>
      <c r="I3" s="61"/>
    </row>
    <row r="4" spans="1:12" s="62" customFormat="1" x14ac:dyDescent="0.2">
      <c r="A4" s="60" t="s">
        <v>98</v>
      </c>
      <c r="B4" s="61"/>
      <c r="C4" s="60"/>
      <c r="D4" s="60"/>
      <c r="E4" s="60"/>
      <c r="G4" s="60"/>
      <c r="H4" s="60"/>
      <c r="I4" s="60"/>
    </row>
    <row r="5" spans="1:12" ht="12.75" thickBot="1" x14ac:dyDescent="0.25">
      <c r="B5" s="67" t="s">
        <v>0</v>
      </c>
      <c r="C5" s="68">
        <v>43465</v>
      </c>
      <c r="D5" s="69">
        <v>43100</v>
      </c>
      <c r="E5" s="70"/>
      <c r="F5" s="68">
        <v>43830</v>
      </c>
      <c r="G5" s="69">
        <v>43465</v>
      </c>
      <c r="H5" s="70"/>
      <c r="J5" s="68">
        <v>43830</v>
      </c>
      <c r="K5" s="69">
        <v>43465</v>
      </c>
    </row>
    <row r="6" spans="1:12" hidden="1" x14ac:dyDescent="0.2">
      <c r="C6" s="71"/>
      <c r="D6" s="72"/>
      <c r="E6" s="67"/>
      <c r="F6" s="71"/>
      <c r="G6" s="72"/>
      <c r="H6" s="67"/>
      <c r="J6" s="71"/>
      <c r="K6" s="72"/>
    </row>
    <row r="7" spans="1:12" x14ac:dyDescent="0.2">
      <c r="B7" s="67" t="s">
        <v>1</v>
      </c>
      <c r="C7" s="73">
        <f>SUM(C8:C12)</f>
        <v>668614.27</v>
      </c>
      <c r="D7" s="73">
        <f>SUM(D8:D12)</f>
        <v>963934</v>
      </c>
      <c r="E7" s="73"/>
      <c r="F7" s="73">
        <f>SUM(F8:F12)</f>
        <v>3482633.32</v>
      </c>
      <c r="G7" s="73">
        <f>SUM(G8:G12)</f>
        <v>3468358.04</v>
      </c>
      <c r="H7" s="73"/>
      <c r="J7" s="73">
        <f>SUM(J8:J12)</f>
        <v>4151247.59</v>
      </c>
      <c r="K7" s="73">
        <f>SUM(K8:K12)</f>
        <v>4432292.04</v>
      </c>
    </row>
    <row r="8" spans="1:12" x14ac:dyDescent="0.2">
      <c r="B8" s="74" t="s">
        <v>2</v>
      </c>
      <c r="C8" s="75">
        <v>621955.24</v>
      </c>
      <c r="D8" s="75">
        <v>901117</v>
      </c>
      <c r="E8" s="75"/>
      <c r="F8" s="75">
        <v>12075.36</v>
      </c>
      <c r="G8" s="75">
        <v>51660.03</v>
      </c>
      <c r="H8" s="75"/>
      <c r="J8" s="75">
        <f>C8+F8</f>
        <v>634030.6</v>
      </c>
      <c r="K8" s="75">
        <f>D8+G8</f>
        <v>952777.03</v>
      </c>
      <c r="L8" s="76"/>
    </row>
    <row r="9" spans="1:12" hidden="1" x14ac:dyDescent="0.2">
      <c r="B9" s="74" t="s">
        <v>3</v>
      </c>
      <c r="C9" s="75">
        <v>0</v>
      </c>
      <c r="D9" s="75"/>
      <c r="E9" s="75"/>
      <c r="F9" s="75">
        <v>3419207.28</v>
      </c>
      <c r="G9" s="75">
        <v>3390279.1</v>
      </c>
      <c r="H9" s="75"/>
      <c r="J9" s="75">
        <f t="shared" ref="J9:K12" si="0">C9+F9</f>
        <v>3419207.28</v>
      </c>
      <c r="K9" s="75">
        <f t="shared" si="0"/>
        <v>3390279.1</v>
      </c>
      <c r="L9" s="76"/>
    </row>
    <row r="10" spans="1:12" x14ac:dyDescent="0.2">
      <c r="B10" s="74" t="s">
        <v>4</v>
      </c>
      <c r="C10" s="75">
        <v>46659.03</v>
      </c>
      <c r="D10" s="75">
        <v>38615</v>
      </c>
      <c r="E10" s="75"/>
      <c r="F10" s="75">
        <v>1635.72</v>
      </c>
      <c r="G10" s="75">
        <v>1635.72</v>
      </c>
      <c r="H10" s="75"/>
      <c r="J10" s="75">
        <f t="shared" si="0"/>
        <v>48294.75</v>
      </c>
      <c r="K10" s="75">
        <f t="shared" si="0"/>
        <v>40250.720000000001</v>
      </c>
      <c r="L10" s="76"/>
    </row>
    <row r="11" spans="1:12" hidden="1" x14ac:dyDescent="0.2">
      <c r="B11" s="74" t="s">
        <v>5</v>
      </c>
      <c r="C11" s="75">
        <v>0</v>
      </c>
      <c r="D11" s="75"/>
      <c r="E11" s="75"/>
      <c r="F11" s="75">
        <v>49714.96</v>
      </c>
      <c r="G11" s="75">
        <v>24783.19</v>
      </c>
      <c r="H11" s="75"/>
      <c r="J11" s="75">
        <f t="shared" si="0"/>
        <v>49714.96</v>
      </c>
      <c r="K11" s="75">
        <f t="shared" si="0"/>
        <v>24783.19</v>
      </c>
      <c r="L11" s="76"/>
    </row>
    <row r="12" spans="1:12" x14ac:dyDescent="0.2">
      <c r="B12" s="74" t="s">
        <v>6</v>
      </c>
      <c r="C12" s="75">
        <v>0</v>
      </c>
      <c r="D12" s="75">
        <v>24202</v>
      </c>
      <c r="E12" s="75"/>
      <c r="F12" s="74">
        <v>0</v>
      </c>
      <c r="G12" s="74">
        <v>0</v>
      </c>
      <c r="H12" s="74"/>
      <c r="J12" s="75">
        <f t="shared" si="0"/>
        <v>0</v>
      </c>
      <c r="K12" s="75">
        <f t="shared" si="0"/>
        <v>24202</v>
      </c>
      <c r="L12" s="76"/>
    </row>
    <row r="13" spans="1:12" hidden="1" x14ac:dyDescent="0.2">
      <c r="B13" s="74"/>
      <c r="C13" s="74"/>
      <c r="D13" s="74"/>
      <c r="E13" s="74"/>
      <c r="F13" s="74"/>
      <c r="G13" s="74"/>
      <c r="H13" s="74"/>
      <c r="J13" s="74"/>
      <c r="K13" s="74"/>
      <c r="L13" s="76"/>
    </row>
    <row r="14" spans="1:12" x14ac:dyDescent="0.2">
      <c r="B14" s="67" t="s">
        <v>60</v>
      </c>
      <c r="C14" s="73">
        <f>C15+C16+C19</f>
        <v>4883986.1100000003</v>
      </c>
      <c r="D14" s="73">
        <f>D15+D17+D19+D16</f>
        <v>1297499.26</v>
      </c>
      <c r="E14" s="73"/>
      <c r="F14" s="73">
        <f>F15+F17+F19</f>
        <v>535200.27</v>
      </c>
      <c r="G14" s="73">
        <f>G15+G17+G19</f>
        <v>589011.47000000009</v>
      </c>
      <c r="H14" s="73"/>
      <c r="J14" s="73">
        <f>J15+J17+J19+J16</f>
        <v>-4780117.29</v>
      </c>
      <c r="K14" s="73">
        <f>K15+K17+K19+K16</f>
        <v>-4150161.1999999997</v>
      </c>
      <c r="L14" s="76"/>
    </row>
    <row r="15" spans="1:12" hidden="1" x14ac:dyDescent="0.2">
      <c r="B15" s="74" t="s">
        <v>4</v>
      </c>
      <c r="C15" s="75"/>
      <c r="D15" s="75"/>
      <c r="E15" s="75"/>
      <c r="F15" s="75">
        <v>18487.93</v>
      </c>
      <c r="G15" s="75">
        <v>18487.93</v>
      </c>
      <c r="H15" s="75"/>
      <c r="J15" s="75">
        <f>C15+F15</f>
        <v>18487.93</v>
      </c>
      <c r="K15" s="75">
        <f>D15+G15</f>
        <v>18487.93</v>
      </c>
      <c r="L15" s="76"/>
    </row>
    <row r="16" spans="1:12" x14ac:dyDescent="0.2">
      <c r="B16" s="74" t="s">
        <v>61</v>
      </c>
      <c r="C16" s="75">
        <v>4818903.67</v>
      </c>
      <c r="D16" s="75">
        <v>0</v>
      </c>
      <c r="E16" s="75"/>
      <c r="F16" s="75"/>
      <c r="G16" s="75"/>
      <c r="H16" s="75">
        <v>10199303.67</v>
      </c>
      <c r="I16" s="75">
        <v>4818903.67</v>
      </c>
      <c r="J16" s="75">
        <f>C16+F16-H16</f>
        <v>-5380400</v>
      </c>
      <c r="K16" s="75">
        <f>D16+G16-I16</f>
        <v>-4818903.67</v>
      </c>
      <c r="L16" s="76"/>
    </row>
    <row r="17" spans="2:13" x14ac:dyDescent="0.2">
      <c r="B17" s="74" t="s">
        <v>62</v>
      </c>
      <c r="C17" s="63">
        <v>0</v>
      </c>
      <c r="D17" s="75">
        <v>10000</v>
      </c>
      <c r="E17" s="75"/>
      <c r="F17" s="75">
        <v>79858</v>
      </c>
      <c r="G17" s="75">
        <v>0</v>
      </c>
      <c r="H17" s="75"/>
      <c r="J17" s="75">
        <f t="shared" ref="J17:K17" si="1">C17+F17</f>
        <v>79858</v>
      </c>
      <c r="K17" s="75">
        <f t="shared" si="1"/>
        <v>10000</v>
      </c>
      <c r="L17" s="76"/>
    </row>
    <row r="18" spans="2:13" hidden="1" x14ac:dyDescent="0.2">
      <c r="B18" s="67"/>
      <c r="C18" s="67"/>
      <c r="D18" s="67"/>
      <c r="E18" s="67"/>
      <c r="F18" s="67"/>
      <c r="G18" s="67"/>
      <c r="H18" s="67"/>
      <c r="J18" s="67"/>
      <c r="K18" s="67"/>
      <c r="L18" s="76"/>
    </row>
    <row r="19" spans="2:13" x14ac:dyDescent="0.2">
      <c r="B19" s="67" t="s">
        <v>7</v>
      </c>
      <c r="C19" s="73">
        <f>SUM(C20:C22)</f>
        <v>65082.44</v>
      </c>
      <c r="D19" s="77">
        <f>SUM(D20:D22)</f>
        <v>1287499.26</v>
      </c>
      <c r="E19" s="73"/>
      <c r="F19" s="73">
        <f>SUM(F21:F22)</f>
        <v>436854.34</v>
      </c>
      <c r="G19" s="73">
        <f>SUM(G21:G22)</f>
        <v>570523.54</v>
      </c>
      <c r="H19" s="73"/>
      <c r="J19" s="73">
        <f>SUM(J21:J22)</f>
        <v>501936.78</v>
      </c>
      <c r="K19" s="73">
        <f>SUM(K21:K22)</f>
        <v>640254.54</v>
      </c>
      <c r="L19" s="76"/>
    </row>
    <row r="20" spans="2:13" x14ac:dyDescent="0.2">
      <c r="B20" s="74" t="s">
        <v>94</v>
      </c>
      <c r="C20" s="75">
        <v>0</v>
      </c>
      <c r="D20" s="77">
        <v>1217768.26</v>
      </c>
      <c r="E20" s="73"/>
      <c r="F20" s="73"/>
      <c r="G20" s="73"/>
      <c r="H20" s="73"/>
      <c r="J20" s="73"/>
      <c r="K20" s="73"/>
      <c r="L20" s="76"/>
    </row>
    <row r="21" spans="2:13" hidden="1" x14ac:dyDescent="0.2">
      <c r="B21" s="74" t="s">
        <v>8</v>
      </c>
      <c r="C21" s="75"/>
      <c r="D21" s="78"/>
      <c r="E21" s="75"/>
      <c r="F21" s="75">
        <v>148495.14000000001</v>
      </c>
      <c r="G21" s="75">
        <v>219186.82</v>
      </c>
      <c r="H21" s="75"/>
      <c r="J21" s="75">
        <f>C21+F21</f>
        <v>148495.14000000001</v>
      </c>
      <c r="K21" s="75">
        <f>D21+G21</f>
        <v>219186.82</v>
      </c>
      <c r="L21" s="76"/>
    </row>
    <row r="22" spans="2:13" x14ac:dyDescent="0.2">
      <c r="B22" s="74" t="s">
        <v>9</v>
      </c>
      <c r="C22" s="75">
        <v>65082.44</v>
      </c>
      <c r="D22" s="78">
        <v>69731</v>
      </c>
      <c r="E22" s="75"/>
      <c r="F22" s="75">
        <v>288359.2</v>
      </c>
      <c r="G22" s="75">
        <v>351336.72</v>
      </c>
      <c r="H22" s="75"/>
      <c r="J22" s="75">
        <f>C22+F22</f>
        <v>353441.64</v>
      </c>
      <c r="K22" s="75">
        <f>D22+G22</f>
        <v>421067.72</v>
      </c>
      <c r="L22" s="76"/>
    </row>
    <row r="23" spans="2:13" hidden="1" x14ac:dyDescent="0.2">
      <c r="B23" s="74"/>
      <c r="C23" s="74"/>
      <c r="D23" s="79"/>
      <c r="E23" s="74"/>
      <c r="F23" s="74"/>
      <c r="G23" s="74"/>
      <c r="H23" s="74"/>
      <c r="J23" s="74"/>
      <c r="K23" s="74"/>
    </row>
    <row r="24" spans="2:13" ht="12.75" thickBot="1" x14ac:dyDescent="0.25">
      <c r="B24" s="67" t="s">
        <v>10</v>
      </c>
      <c r="C24" s="80">
        <f>C7+C14</f>
        <v>5552600.3800000008</v>
      </c>
      <c r="D24" s="81">
        <f>D7+D14</f>
        <v>2261433.2599999998</v>
      </c>
      <c r="E24" s="73"/>
      <c r="F24" s="80">
        <f>F7+F14</f>
        <v>4017833.59</v>
      </c>
      <c r="G24" s="80">
        <f>G7+G14</f>
        <v>4057369.5100000002</v>
      </c>
      <c r="H24" s="73"/>
      <c r="J24" s="80">
        <f>J7+J14</f>
        <v>-628869.70000000019</v>
      </c>
      <c r="K24" s="80">
        <f>K7+K14</f>
        <v>282130.84000000032</v>
      </c>
    </row>
    <row r="25" spans="2:13" hidden="1" x14ac:dyDescent="0.2"/>
    <row r="26" spans="2:13" hidden="1" x14ac:dyDescent="0.2"/>
    <row r="27" spans="2:13" ht="12.75" hidden="1" thickBot="1" x14ac:dyDescent="0.25">
      <c r="C27" s="64" t="s">
        <v>57</v>
      </c>
      <c r="D27" s="64"/>
      <c r="E27" s="65"/>
      <c r="F27" s="64" t="s">
        <v>58</v>
      </c>
      <c r="G27" s="64"/>
      <c r="H27" s="66"/>
      <c r="J27" s="64" t="s">
        <v>59</v>
      </c>
      <c r="K27" s="64"/>
      <c r="L27" s="82"/>
      <c r="M27" s="82"/>
    </row>
    <row r="28" spans="2:13" ht="12.75" thickBot="1" x14ac:dyDescent="0.25">
      <c r="B28" s="67" t="s">
        <v>11</v>
      </c>
      <c r="C28" s="68">
        <v>43465</v>
      </c>
      <c r="D28" s="69">
        <v>43100</v>
      </c>
      <c r="E28" s="70"/>
      <c r="F28" s="68">
        <v>43830</v>
      </c>
      <c r="G28" s="69">
        <v>43465</v>
      </c>
      <c r="H28" s="70"/>
      <c r="J28" s="68">
        <v>43830</v>
      </c>
      <c r="K28" s="69">
        <v>43465</v>
      </c>
    </row>
    <row r="29" spans="2:13" hidden="1" x14ac:dyDescent="0.2">
      <c r="B29" s="74"/>
      <c r="C29" s="83"/>
      <c r="D29" s="72"/>
      <c r="E29" s="67"/>
      <c r="F29" s="83"/>
      <c r="G29" s="72"/>
      <c r="H29" s="67"/>
      <c r="J29" s="83"/>
      <c r="K29" s="72"/>
    </row>
    <row r="30" spans="2:13" x14ac:dyDescent="0.2">
      <c r="B30" s="67" t="s">
        <v>1</v>
      </c>
      <c r="C30" s="73">
        <f>SUM(C31:C36)</f>
        <v>1698</v>
      </c>
      <c r="D30" s="73">
        <f>SUM(D31:D36)</f>
        <v>1664</v>
      </c>
      <c r="E30" s="73"/>
      <c r="F30" s="73">
        <f>SUM(F31:F36)</f>
        <v>1134161.3799999999</v>
      </c>
      <c r="G30" s="73">
        <f>SUM(G31:G36)</f>
        <v>792389</v>
      </c>
      <c r="H30" s="73"/>
      <c r="J30" s="73">
        <f>SUM(J31:J36)</f>
        <v>1135859.3799999999</v>
      </c>
      <c r="K30" s="73">
        <f>SUM(K31:K36)</f>
        <v>794053</v>
      </c>
    </row>
    <row r="31" spans="2:13" x14ac:dyDescent="0.2">
      <c r="B31" s="74" t="s">
        <v>12</v>
      </c>
      <c r="C31" s="75">
        <v>1698</v>
      </c>
      <c r="D31" s="75">
        <v>1664</v>
      </c>
      <c r="E31" s="75"/>
      <c r="F31" s="75">
        <v>25975.119999999999</v>
      </c>
      <c r="G31" s="75">
        <v>24362.53</v>
      </c>
      <c r="H31" s="75"/>
      <c r="J31" s="75">
        <f>C31+F31</f>
        <v>27673.119999999999</v>
      </c>
      <c r="K31" s="75">
        <f>D31+G31</f>
        <v>26026.53</v>
      </c>
    </row>
    <row r="32" spans="2:13" hidden="1" x14ac:dyDescent="0.2">
      <c r="B32" s="74" t="s">
        <v>13</v>
      </c>
      <c r="C32" s="75"/>
      <c r="D32" s="75"/>
      <c r="E32" s="75"/>
      <c r="F32" s="75">
        <v>0</v>
      </c>
      <c r="G32" s="75">
        <v>0</v>
      </c>
      <c r="H32" s="75"/>
      <c r="J32" s="75">
        <f t="shared" ref="J32:K36" si="2">C32+F32</f>
        <v>0</v>
      </c>
      <c r="K32" s="75">
        <f t="shared" si="2"/>
        <v>0</v>
      </c>
    </row>
    <row r="33" spans="2:14" hidden="1" x14ac:dyDescent="0.2">
      <c r="B33" s="74" t="s">
        <v>14</v>
      </c>
      <c r="C33" s="75"/>
      <c r="D33" s="75"/>
      <c r="E33" s="75"/>
      <c r="F33" s="75">
        <v>658134.72</v>
      </c>
      <c r="G33" s="75">
        <v>452279.58</v>
      </c>
      <c r="H33" s="75"/>
      <c r="J33" s="75">
        <f t="shared" si="2"/>
        <v>658134.72</v>
      </c>
      <c r="K33" s="75">
        <f t="shared" si="2"/>
        <v>452279.58</v>
      </c>
    </row>
    <row r="34" spans="2:14" hidden="1" x14ac:dyDescent="0.2">
      <c r="B34" s="74" t="s">
        <v>15</v>
      </c>
      <c r="C34" s="75"/>
      <c r="D34" s="75"/>
      <c r="E34" s="75"/>
      <c r="F34" s="75">
        <v>433691.54</v>
      </c>
      <c r="G34" s="75">
        <v>300097.7</v>
      </c>
      <c r="H34" s="75"/>
      <c r="J34" s="75">
        <f t="shared" si="2"/>
        <v>433691.54</v>
      </c>
      <c r="K34" s="75">
        <f t="shared" si="2"/>
        <v>300097.7</v>
      </c>
    </row>
    <row r="35" spans="2:14" hidden="1" x14ac:dyDescent="0.2">
      <c r="B35" s="74" t="s">
        <v>46</v>
      </c>
      <c r="C35" s="74"/>
      <c r="D35" s="75"/>
      <c r="E35" s="75"/>
      <c r="F35" s="74">
        <v>0</v>
      </c>
      <c r="G35" s="75">
        <v>0</v>
      </c>
      <c r="H35" s="75"/>
      <c r="J35" s="75">
        <f t="shared" si="2"/>
        <v>0</v>
      </c>
      <c r="K35" s="75">
        <f t="shared" si="2"/>
        <v>0</v>
      </c>
    </row>
    <row r="36" spans="2:14" hidden="1" x14ac:dyDescent="0.2">
      <c r="B36" s="74" t="s">
        <v>16</v>
      </c>
      <c r="C36" s="75"/>
      <c r="D36" s="75"/>
      <c r="E36" s="75"/>
      <c r="F36" s="75">
        <v>16360</v>
      </c>
      <c r="G36" s="75">
        <v>15649.19</v>
      </c>
      <c r="H36" s="75"/>
      <c r="J36" s="75">
        <f t="shared" si="2"/>
        <v>16360</v>
      </c>
      <c r="K36" s="75">
        <f t="shared" si="2"/>
        <v>15649.19</v>
      </c>
    </row>
    <row r="37" spans="2:14" hidden="1" x14ac:dyDescent="0.2">
      <c r="B37" s="74"/>
      <c r="C37" s="74"/>
      <c r="D37" s="74"/>
      <c r="E37" s="74"/>
      <c r="F37" s="74"/>
      <c r="G37" s="74"/>
      <c r="H37" s="74"/>
      <c r="J37" s="74"/>
      <c r="K37" s="74"/>
    </row>
    <row r="38" spans="2:14" x14ac:dyDescent="0.2">
      <c r="B38" s="67" t="s">
        <v>60</v>
      </c>
      <c r="C38" s="73">
        <f>C39+C44</f>
        <v>5550902.3800000008</v>
      </c>
      <c r="D38" s="73">
        <f>D39+D44</f>
        <v>2259769</v>
      </c>
      <c r="E38" s="73"/>
      <c r="F38" s="73">
        <f>F39+F44</f>
        <v>2883672.209999999</v>
      </c>
      <c r="G38" s="73">
        <f>G39+G44</f>
        <v>3264980.51</v>
      </c>
      <c r="H38" s="73"/>
      <c r="J38" s="73">
        <f>J39+J44</f>
        <v>-2114718.08</v>
      </c>
      <c r="K38" s="73">
        <f>K39+K44</f>
        <v>2443057.0000000005</v>
      </c>
      <c r="N38" s="84">
        <f>57000+3646988</f>
        <v>3703988</v>
      </c>
    </row>
    <row r="39" spans="2:14" x14ac:dyDescent="0.2">
      <c r="B39" s="67" t="s">
        <v>17</v>
      </c>
      <c r="C39" s="73">
        <f>SUM(C40:C42)</f>
        <v>1553922.69</v>
      </c>
      <c r="D39" s="73">
        <f>SUM(D40:D42)</f>
        <v>0</v>
      </c>
      <c r="E39" s="73"/>
      <c r="F39" s="73">
        <f>SUM(F40:F42)</f>
        <v>10256303.67</v>
      </c>
      <c r="G39" s="73">
        <f>SUM(G40:G42)</f>
        <v>4818903.67</v>
      </c>
      <c r="H39" s="73"/>
      <c r="J39" s="73">
        <f>SUM(J40:J42)</f>
        <v>-5761706.5600000005</v>
      </c>
      <c r="K39" s="73">
        <f>SUM(K40:K42)</f>
        <v>-1553922.69</v>
      </c>
    </row>
    <row r="40" spans="2:14" hidden="1" x14ac:dyDescent="0.2">
      <c r="B40" s="74" t="s">
        <v>63</v>
      </c>
      <c r="C40" s="75"/>
      <c r="D40" s="75"/>
      <c r="E40" s="75"/>
      <c r="F40" s="75">
        <v>57000</v>
      </c>
      <c r="G40" s="75">
        <v>0</v>
      </c>
      <c r="H40" s="75"/>
      <c r="J40" s="75">
        <f t="shared" ref="J40:K40" si="3">C40+F40</f>
        <v>57000</v>
      </c>
      <c r="K40" s="75">
        <f t="shared" si="3"/>
        <v>0</v>
      </c>
    </row>
    <row r="41" spans="2:14" x14ac:dyDescent="0.2">
      <c r="B41" s="74" t="s">
        <v>64</v>
      </c>
      <c r="C41" s="75">
        <v>1553922.69</v>
      </c>
      <c r="D41" s="75">
        <v>0</v>
      </c>
      <c r="E41" s="75"/>
      <c r="F41" s="75"/>
      <c r="G41" s="75"/>
      <c r="H41" s="75">
        <v>7372629.25</v>
      </c>
      <c r="I41" s="75">
        <v>1553922.69</v>
      </c>
      <c r="J41" s="75">
        <f>C41+F41-H41</f>
        <v>-5818706.5600000005</v>
      </c>
      <c r="K41" s="75">
        <f>D41+G41-I41</f>
        <v>-1553922.69</v>
      </c>
    </row>
    <row r="42" spans="2:14" hidden="1" x14ac:dyDescent="0.2">
      <c r="B42" s="74" t="s">
        <v>48</v>
      </c>
      <c r="C42" s="75"/>
      <c r="D42" s="75"/>
      <c r="E42" s="75"/>
      <c r="F42" s="75">
        <v>10199303.67</v>
      </c>
      <c r="G42" s="75">
        <v>4818903.67</v>
      </c>
      <c r="H42" s="75">
        <v>10199303.67</v>
      </c>
      <c r="I42" s="75">
        <v>4818903.67</v>
      </c>
      <c r="J42" s="75">
        <f>C42+F42-H42</f>
        <v>0</v>
      </c>
      <c r="K42" s="75">
        <f>D42+G42-I42</f>
        <v>0</v>
      </c>
    </row>
    <row r="43" spans="2:14" hidden="1" x14ac:dyDescent="0.2">
      <c r="B43" s="74"/>
      <c r="C43" s="74"/>
      <c r="D43" s="74"/>
      <c r="E43" s="74"/>
      <c r="F43" s="74"/>
      <c r="G43" s="74"/>
      <c r="H43" s="74"/>
      <c r="J43" s="74"/>
      <c r="K43" s="74"/>
      <c r="N43" s="85"/>
    </row>
    <row r="44" spans="2:14" x14ac:dyDescent="0.2">
      <c r="B44" s="67" t="s">
        <v>65</v>
      </c>
      <c r="C44" s="86">
        <f>C45+C48+C49</f>
        <v>3996979.6900000004</v>
      </c>
      <c r="D44" s="86">
        <f>D45+D48+D49</f>
        <v>2259769</v>
      </c>
      <c r="E44" s="86"/>
      <c r="F44" s="86">
        <f>F45+F48+F49</f>
        <v>-7372631.4600000009</v>
      </c>
      <c r="G44" s="86">
        <f>G45+G48+G49</f>
        <v>-1553923.1600000004</v>
      </c>
      <c r="H44" s="86"/>
      <c r="J44" s="86">
        <f>J45+J48+J49+J50</f>
        <v>3646988.4800000004</v>
      </c>
      <c r="K44" s="86">
        <f>K45+K48+K49</f>
        <v>3996979.6900000004</v>
      </c>
      <c r="N44" s="86">
        <f>SUM(N45:N50)</f>
        <v>3646988</v>
      </c>
    </row>
    <row r="45" spans="2:14" x14ac:dyDescent="0.2">
      <c r="B45" s="74" t="s">
        <v>18</v>
      </c>
      <c r="C45" s="75">
        <v>8836900</v>
      </c>
      <c r="D45" s="87">
        <v>4412000</v>
      </c>
      <c r="E45" s="87"/>
      <c r="F45" s="87">
        <v>3384750</v>
      </c>
      <c r="G45" s="87">
        <v>3384750</v>
      </c>
      <c r="H45" s="87"/>
      <c r="J45" s="87">
        <v>14456676</v>
      </c>
      <c r="K45" s="87">
        <v>8836900</v>
      </c>
      <c r="N45" s="87">
        <v>14456676</v>
      </c>
    </row>
    <row r="46" spans="2:14" x14ac:dyDescent="0.2">
      <c r="B46" s="74" t="s">
        <v>66</v>
      </c>
      <c r="C46" s="75">
        <v>8826900</v>
      </c>
      <c r="D46" s="87">
        <f>D45-D47</f>
        <v>4402000</v>
      </c>
      <c r="E46" s="87"/>
      <c r="F46" s="87">
        <v>3384749</v>
      </c>
      <c r="G46" s="87">
        <v>3384749</v>
      </c>
      <c r="H46" s="87"/>
      <c r="J46" s="87">
        <f>J45-J47</f>
        <v>14446676</v>
      </c>
      <c r="K46" s="87">
        <f>K45-K47</f>
        <v>8826900</v>
      </c>
      <c r="N46" s="87"/>
    </row>
    <row r="47" spans="2:14" x14ac:dyDescent="0.2">
      <c r="B47" s="74" t="s">
        <v>67</v>
      </c>
      <c r="C47" s="75">
        <v>10000</v>
      </c>
      <c r="D47" s="87">
        <v>10000</v>
      </c>
      <c r="E47" s="88"/>
      <c r="F47" s="88">
        <v>1</v>
      </c>
      <c r="G47" s="88">
        <v>1</v>
      </c>
      <c r="H47" s="88"/>
      <c r="J47" s="87">
        <v>10000</v>
      </c>
      <c r="K47" s="87">
        <v>10000</v>
      </c>
      <c r="N47" s="87"/>
    </row>
    <row r="48" spans="2:14" x14ac:dyDescent="0.2">
      <c r="B48" s="74" t="s">
        <v>68</v>
      </c>
      <c r="C48" s="75">
        <v>-5445260.3099999996</v>
      </c>
      <c r="D48" s="87">
        <v>-2757571</v>
      </c>
      <c r="E48" s="87"/>
      <c r="F48" s="87">
        <f>-4948235.48-5818708.3</f>
        <v>-10766943.780000001</v>
      </c>
      <c r="G48" s="87">
        <v>-4948235.4800000004</v>
      </c>
      <c r="H48" s="87"/>
      <c r="J48" s="87">
        <v>-11415025.52</v>
      </c>
      <c r="K48" s="87">
        <v>-5445260.3099999996</v>
      </c>
      <c r="N48" s="87">
        <v>-11415026</v>
      </c>
    </row>
    <row r="49" spans="2:14" x14ac:dyDescent="0.2">
      <c r="B49" s="74" t="s">
        <v>49</v>
      </c>
      <c r="C49" s="75">
        <v>605340</v>
      </c>
      <c r="D49" s="87">
        <v>605340</v>
      </c>
      <c r="E49" s="87"/>
      <c r="F49" s="87">
        <v>9562.32</v>
      </c>
      <c r="G49" s="87">
        <v>9562.32</v>
      </c>
      <c r="H49" s="87"/>
      <c r="J49" s="87">
        <v>605340</v>
      </c>
      <c r="K49" s="87">
        <v>605340</v>
      </c>
      <c r="N49" s="87">
        <v>605340</v>
      </c>
    </row>
    <row r="50" spans="2:14" hidden="1" x14ac:dyDescent="0.2">
      <c r="B50" s="74" t="s">
        <v>69</v>
      </c>
      <c r="C50" s="87"/>
      <c r="D50" s="87"/>
      <c r="E50" s="87"/>
      <c r="F50" s="87"/>
      <c r="G50" s="87"/>
      <c r="H50" s="87"/>
      <c r="J50" s="87">
        <v>-2</v>
      </c>
      <c r="K50" s="87"/>
      <c r="N50" s="86">
        <v>-2</v>
      </c>
    </row>
    <row r="51" spans="2:14" hidden="1" x14ac:dyDescent="0.2">
      <c r="B51" s="74"/>
      <c r="C51" s="88"/>
      <c r="D51" s="88"/>
      <c r="E51" s="88"/>
      <c r="F51" s="88"/>
      <c r="G51" s="88"/>
      <c r="H51" s="88"/>
      <c r="J51" s="88"/>
      <c r="K51" s="88"/>
    </row>
    <row r="52" spans="2:14" ht="12.75" thickBot="1" x14ac:dyDescent="0.25">
      <c r="B52" s="67" t="s">
        <v>19</v>
      </c>
      <c r="C52" s="80">
        <f>C38+C30</f>
        <v>5552600.3800000008</v>
      </c>
      <c r="D52" s="80">
        <f>D38+D30</f>
        <v>2261433</v>
      </c>
      <c r="E52" s="73"/>
      <c r="F52" s="80">
        <f>F38+F30</f>
        <v>4017833.5899999989</v>
      </c>
      <c r="G52" s="80">
        <f>G38+G30</f>
        <v>4057369.51</v>
      </c>
      <c r="H52" s="73"/>
      <c r="J52" s="80">
        <f>J38+J30</f>
        <v>-978858.70000000019</v>
      </c>
      <c r="K52" s="80">
        <f>K38+K30</f>
        <v>3237110.0000000005</v>
      </c>
    </row>
    <row r="54" spans="2:14" hidden="1" x14ac:dyDescent="0.2">
      <c r="C54" s="76">
        <f>C52-C24</f>
        <v>0</v>
      </c>
      <c r="D54" s="76">
        <f>D52-D24</f>
        <v>-0.25999999977648258</v>
      </c>
      <c r="E54" s="76"/>
      <c r="F54" s="76">
        <f>F52-F24</f>
        <v>0</v>
      </c>
      <c r="G54" s="76">
        <f>G52-G24</f>
        <v>0</v>
      </c>
      <c r="H54" s="76"/>
      <c r="J54" s="76">
        <f>J52-J24</f>
        <v>-349989</v>
      </c>
      <c r="K54" s="76">
        <f>K52-K24</f>
        <v>2954979.16</v>
      </c>
    </row>
  </sheetData>
  <mergeCells count="6">
    <mergeCell ref="C1:D1"/>
    <mergeCell ref="F1:G1"/>
    <mergeCell ref="J1:K1"/>
    <mergeCell ref="C27:D27"/>
    <mergeCell ref="F27:G27"/>
    <mergeCell ref="J27:K27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BBBA95-2C02-4BF7-B83C-2F2797538537}">
  <sheetPr>
    <tabColor theme="4"/>
  </sheetPr>
  <dimension ref="A1:K53"/>
  <sheetViews>
    <sheetView showGridLines="0" topLeftCell="A2" zoomScaleNormal="100" workbookViewId="0">
      <selection activeCell="A2" sqref="A2:XFD4"/>
    </sheetView>
  </sheetViews>
  <sheetFormatPr defaultRowHeight="12" x14ac:dyDescent="0.2"/>
  <cols>
    <col min="1" max="1" width="9.140625" style="1"/>
    <col min="2" max="2" width="41.42578125" style="1" bestFit="1" customWidth="1"/>
    <col min="3" max="4" width="11.42578125" style="1" customWidth="1"/>
    <col min="5" max="5" width="4.42578125" style="1" customWidth="1"/>
    <col min="6" max="7" width="13.42578125" style="1" hidden="1" customWidth="1"/>
    <col min="8" max="9" width="7.7109375" style="1" hidden="1" customWidth="1"/>
    <col min="10" max="11" width="11.42578125" style="1" hidden="1" customWidth="1"/>
    <col min="12" max="16384" width="9.140625" style="1"/>
  </cols>
  <sheetData>
    <row r="1" spans="1:11" ht="13.5" hidden="1" customHeight="1" thickBot="1" x14ac:dyDescent="0.25">
      <c r="C1" s="58" t="s">
        <v>57</v>
      </c>
      <c r="D1" s="58"/>
      <c r="F1" s="58" t="s">
        <v>58</v>
      </c>
      <c r="G1" s="58"/>
      <c r="H1" s="3"/>
      <c r="J1" s="58" t="s">
        <v>59</v>
      </c>
      <c r="K1" s="58"/>
    </row>
    <row r="2" spans="1:11" s="62" customFormat="1" x14ac:dyDescent="0.2">
      <c r="A2" s="60" t="s">
        <v>96</v>
      </c>
      <c r="B2" s="61"/>
      <c r="C2" s="60"/>
      <c r="D2" s="60"/>
      <c r="E2" s="60"/>
      <c r="G2" s="60"/>
      <c r="H2" s="60"/>
      <c r="I2" s="60"/>
    </row>
    <row r="3" spans="1:11" s="62" customFormat="1" x14ac:dyDescent="0.2">
      <c r="A3" s="60" t="s">
        <v>97</v>
      </c>
      <c r="B3" s="61"/>
      <c r="C3" s="61"/>
      <c r="D3" s="61"/>
      <c r="E3" s="61"/>
      <c r="G3" s="61"/>
      <c r="H3" s="61"/>
      <c r="I3" s="61"/>
    </row>
    <row r="4" spans="1:11" s="62" customFormat="1" x14ac:dyDescent="0.2">
      <c r="A4" s="60" t="s">
        <v>98</v>
      </c>
      <c r="B4" s="61"/>
      <c r="C4" s="60"/>
      <c r="D4" s="60"/>
      <c r="E4" s="60"/>
      <c r="G4" s="60"/>
      <c r="H4" s="60"/>
      <c r="I4" s="60"/>
    </row>
    <row r="5" spans="1:11" ht="10.5" customHeight="1" thickBot="1" x14ac:dyDescent="0.25">
      <c r="C5" s="6">
        <v>43465</v>
      </c>
      <c r="D5" s="6">
        <v>43100</v>
      </c>
      <c r="F5" s="6">
        <v>43830</v>
      </c>
      <c r="G5" s="6">
        <v>43465</v>
      </c>
      <c r="H5" s="7"/>
      <c r="J5" s="6">
        <v>43830</v>
      </c>
      <c r="K5" s="6">
        <v>43465</v>
      </c>
    </row>
    <row r="6" spans="1:11" ht="10.5" customHeight="1" x14ac:dyDescent="0.2">
      <c r="C6" s="10"/>
      <c r="D6" s="8"/>
      <c r="F6" s="10"/>
      <c r="G6" s="8"/>
      <c r="H6" s="5"/>
      <c r="J6" s="10"/>
      <c r="K6" s="8"/>
    </row>
    <row r="7" spans="1:11" ht="10.5" hidden="1" customHeight="1" x14ac:dyDescent="0.2">
      <c r="B7" s="13" t="s">
        <v>50</v>
      </c>
      <c r="C7" s="12">
        <v>0</v>
      </c>
      <c r="D7" s="12">
        <v>0</v>
      </c>
      <c r="F7" s="12">
        <v>0</v>
      </c>
      <c r="G7" s="12">
        <v>184989</v>
      </c>
      <c r="H7" s="12"/>
      <c r="J7" s="12">
        <f>C7+F7</f>
        <v>0</v>
      </c>
      <c r="K7" s="12">
        <v>184989</v>
      </c>
    </row>
    <row r="8" spans="1:11" ht="10.5" hidden="1" customHeight="1" thickBot="1" x14ac:dyDescent="0.25">
      <c r="B8" s="13" t="s">
        <v>51</v>
      </c>
      <c r="C8" s="14">
        <v>0</v>
      </c>
      <c r="D8" s="12">
        <v>0</v>
      </c>
      <c r="F8" s="14">
        <v>1138748.79</v>
      </c>
      <c r="G8" s="12">
        <v>5166040</v>
      </c>
      <c r="H8" s="12"/>
      <c r="J8" s="14">
        <v>1138748.79</v>
      </c>
      <c r="K8" s="12">
        <f>5166040+9434</f>
        <v>5175474</v>
      </c>
    </row>
    <row r="9" spans="1:11" ht="10.5" hidden="1" customHeight="1" thickBot="1" x14ac:dyDescent="0.25">
      <c r="B9" s="15" t="s">
        <v>20</v>
      </c>
      <c r="C9" s="16">
        <f>SUM(C7:C8)</f>
        <v>0</v>
      </c>
      <c r="D9" s="16">
        <f>SUM(D7:D8)</f>
        <v>0</v>
      </c>
      <c r="F9" s="16">
        <f>SUM(F7:F8)</f>
        <v>1138748.79</v>
      </c>
      <c r="G9" s="16">
        <f>SUM(G7:G8)</f>
        <v>5351029</v>
      </c>
      <c r="H9" s="11"/>
      <c r="J9" s="16">
        <f>SUM(J7:J8)</f>
        <v>1138748.79</v>
      </c>
      <c r="K9" s="16">
        <f>SUM(K7:K8)</f>
        <v>5360463</v>
      </c>
    </row>
    <row r="10" spans="1:11" ht="10.5" hidden="1" customHeight="1" thickBot="1" x14ac:dyDescent="0.25">
      <c r="B10" s="15" t="s">
        <v>21</v>
      </c>
      <c r="C10" s="16">
        <v>0</v>
      </c>
      <c r="D10" s="16">
        <v>0</v>
      </c>
      <c r="F10" s="16">
        <v>-98501.6</v>
      </c>
      <c r="G10" s="16">
        <v>-456112</v>
      </c>
      <c r="H10" s="11"/>
      <c r="J10" s="16">
        <v>-98501.6</v>
      </c>
      <c r="K10" s="16">
        <v>-456112</v>
      </c>
    </row>
    <row r="11" spans="1:11" ht="10.5" hidden="1" customHeight="1" thickBot="1" x14ac:dyDescent="0.25">
      <c r="B11" s="15" t="s">
        <v>22</v>
      </c>
      <c r="C11" s="16">
        <f>SUM(C9:C10)</f>
        <v>0</v>
      </c>
      <c r="D11" s="16">
        <f>SUM(D9:D10)</f>
        <v>0</v>
      </c>
      <c r="F11" s="16">
        <f>SUM(F9:F10)</f>
        <v>1040247.1900000001</v>
      </c>
      <c r="G11" s="16">
        <f>SUM(G9:G10)</f>
        <v>4894917</v>
      </c>
      <c r="H11" s="11"/>
      <c r="J11" s="16">
        <f>SUM(J9:J10)</f>
        <v>1040247.1900000001</v>
      </c>
      <c r="K11" s="16">
        <f>SUM(K9:K10)</f>
        <v>4904351</v>
      </c>
    </row>
    <row r="12" spans="1:11" ht="10.5" hidden="1" customHeight="1" thickBot="1" x14ac:dyDescent="0.25">
      <c r="B12" s="13" t="s">
        <v>70</v>
      </c>
      <c r="C12" s="16">
        <v>0</v>
      </c>
      <c r="D12" s="16">
        <v>0</v>
      </c>
      <c r="F12" s="16">
        <v>-3335662</v>
      </c>
      <c r="G12" s="16">
        <v>-4310180.9800000004</v>
      </c>
      <c r="H12" s="11"/>
      <c r="J12" s="16">
        <v>-3335662</v>
      </c>
      <c r="K12" s="16">
        <v>-4335492</v>
      </c>
    </row>
    <row r="13" spans="1:11" ht="10.5" hidden="1" customHeight="1" thickBot="1" x14ac:dyDescent="0.25">
      <c r="B13" s="15" t="s">
        <v>23</v>
      </c>
      <c r="C13" s="16">
        <f>C11+C12</f>
        <v>0</v>
      </c>
      <c r="D13" s="16">
        <f>D11+D12</f>
        <v>0</v>
      </c>
      <c r="F13" s="16">
        <f>F11+F12</f>
        <v>-2295414.81</v>
      </c>
      <c r="G13" s="16">
        <f>G11+G12</f>
        <v>584736.01999999955</v>
      </c>
      <c r="H13" s="11"/>
      <c r="J13" s="16">
        <f>J11+J12</f>
        <v>-2295414.81</v>
      </c>
      <c r="K13" s="16">
        <f>K11+K12</f>
        <v>568859</v>
      </c>
    </row>
    <row r="14" spans="1:11" ht="10.5" hidden="1" customHeight="1" x14ac:dyDescent="0.2">
      <c r="B14" s="13" t="s">
        <v>52</v>
      </c>
      <c r="C14" s="17">
        <v>0</v>
      </c>
      <c r="D14" s="17">
        <v>0</v>
      </c>
      <c r="F14" s="17">
        <v>-1862142</v>
      </c>
      <c r="G14" s="17">
        <v>-1706350.89</v>
      </c>
      <c r="H14" s="12"/>
      <c r="J14" s="17">
        <f>-5197804.31-J12</f>
        <v>-1862142.3099999996</v>
      </c>
      <c r="K14" s="17">
        <v>-1826351</v>
      </c>
    </row>
    <row r="15" spans="1:11" ht="10.5" customHeight="1" thickBot="1" x14ac:dyDescent="0.25">
      <c r="B15" s="13" t="s">
        <v>53</v>
      </c>
      <c r="C15" s="12">
        <f>-70210-89500.03-163</f>
        <v>-159873.03</v>
      </c>
      <c r="D15" s="12">
        <f>-182632-72444.38</f>
        <v>-255076.38</v>
      </c>
      <c r="F15" s="12">
        <f>-1627190.18-19312.68</f>
        <v>-1646502.8599999999</v>
      </c>
      <c r="G15" s="12">
        <f>-12386.94-1547583.82</f>
        <v>-1559970.76</v>
      </c>
      <c r="H15" s="12"/>
      <c r="J15" s="12">
        <f>-1627190.18-19312.68+C15</f>
        <v>-1806375.89</v>
      </c>
      <c r="K15" s="12">
        <f>-1738734-14510</f>
        <v>-1753244</v>
      </c>
    </row>
    <row r="16" spans="1:11" ht="10.5" hidden="1" customHeight="1" x14ac:dyDescent="0.2">
      <c r="B16" s="13" t="s">
        <v>24</v>
      </c>
      <c r="C16" s="13">
        <v>0</v>
      </c>
      <c r="D16" s="13">
        <v>0</v>
      </c>
      <c r="F16" s="13">
        <v>0</v>
      </c>
      <c r="G16" s="13">
        <v>0</v>
      </c>
      <c r="H16" s="13"/>
      <c r="J16" s="13">
        <v>0</v>
      </c>
      <c r="K16" s="13">
        <v>0</v>
      </c>
    </row>
    <row r="17" spans="2:11" ht="10.5" hidden="1" customHeight="1" x14ac:dyDescent="0.2">
      <c r="B17" s="13" t="s">
        <v>71</v>
      </c>
      <c r="C17" s="12">
        <v>0</v>
      </c>
      <c r="D17" s="13">
        <v>0</v>
      </c>
      <c r="F17" s="13"/>
      <c r="G17" s="13"/>
      <c r="H17" s="13"/>
      <c r="J17" s="12">
        <f>C17</f>
        <v>0</v>
      </c>
      <c r="K17" s="12">
        <v>0</v>
      </c>
    </row>
    <row r="18" spans="2:11" ht="10.5" hidden="1" customHeight="1" thickBot="1" x14ac:dyDescent="0.25">
      <c r="B18" s="13"/>
      <c r="C18" s="18"/>
      <c r="D18" s="18"/>
      <c r="F18" s="18"/>
      <c r="G18" s="18"/>
      <c r="H18" s="13"/>
      <c r="J18" s="18"/>
      <c r="K18" s="18"/>
    </row>
    <row r="19" spans="2:11" ht="10.5" customHeight="1" thickBot="1" x14ac:dyDescent="0.25">
      <c r="B19" s="15" t="s">
        <v>25</v>
      </c>
      <c r="C19" s="16">
        <f>SUM(C14:C17)</f>
        <v>-159873.03</v>
      </c>
      <c r="D19" s="16">
        <f>SUM(D14:D17)</f>
        <v>-255076.38</v>
      </c>
      <c r="F19" s="16">
        <f>SUM(F14:F16)</f>
        <v>-3508644.86</v>
      </c>
      <c r="G19" s="16">
        <f>SUM(G14:G16)</f>
        <v>-3266321.65</v>
      </c>
      <c r="H19" s="11"/>
      <c r="J19" s="16">
        <f>SUM(J14:J17)</f>
        <v>-3668518.1999999993</v>
      </c>
      <c r="K19" s="16">
        <f>SUM(K14:K17)</f>
        <v>-3579595</v>
      </c>
    </row>
    <row r="20" spans="2:11" ht="10.5" hidden="1" customHeight="1" thickBot="1" x14ac:dyDescent="0.25">
      <c r="B20" s="15"/>
      <c r="C20" s="19"/>
      <c r="D20" s="19"/>
      <c r="F20" s="19"/>
      <c r="G20" s="19"/>
      <c r="H20" s="15"/>
      <c r="J20" s="19"/>
      <c r="K20" s="19"/>
    </row>
    <row r="21" spans="2:11" ht="10.5" customHeight="1" thickBot="1" x14ac:dyDescent="0.25">
      <c r="B21" s="15" t="s">
        <v>26</v>
      </c>
      <c r="C21" s="16">
        <f>C19+C13</f>
        <v>-159873.03</v>
      </c>
      <c r="D21" s="16">
        <f>D19+D13</f>
        <v>-255076.38</v>
      </c>
      <c r="F21" s="16">
        <f>F19+F13</f>
        <v>-5804059.6699999999</v>
      </c>
      <c r="G21" s="16">
        <f>G19+G13</f>
        <v>-2681585.6300000004</v>
      </c>
      <c r="H21" s="11"/>
      <c r="J21" s="16">
        <f>J19+J13</f>
        <v>-5963933.0099999998</v>
      </c>
      <c r="K21" s="16">
        <f>K19+K13</f>
        <v>-3010736</v>
      </c>
    </row>
    <row r="22" spans="2:11" ht="10.5" hidden="1" customHeight="1" thickBot="1" x14ac:dyDescent="0.25">
      <c r="B22" s="15"/>
      <c r="C22" s="19"/>
      <c r="D22" s="19"/>
      <c r="F22" s="19"/>
      <c r="G22" s="19"/>
      <c r="H22" s="15"/>
      <c r="J22" s="19"/>
      <c r="K22" s="19"/>
    </row>
    <row r="23" spans="2:11" ht="10.5" customHeight="1" thickBot="1" x14ac:dyDescent="0.25">
      <c r="B23" s="15" t="s">
        <v>27</v>
      </c>
      <c r="C23" s="16">
        <f>14903.97-6089.76</f>
        <v>8814.2099999999991</v>
      </c>
      <c r="D23" s="16">
        <f>97829.94-11959.37</f>
        <v>85870.57</v>
      </c>
      <c r="F23" s="16">
        <f>-15833.84+1185.52</f>
        <v>-14648.32</v>
      </c>
      <c r="G23" s="16">
        <f>1640.94-6406.85</f>
        <v>-4765.91</v>
      </c>
      <c r="H23" s="11"/>
      <c r="J23" s="16">
        <f>-15833.84+1185.52+C23</f>
        <v>-5834.1100000000006</v>
      </c>
      <c r="K23" s="16">
        <v>25952</v>
      </c>
    </row>
    <row r="24" spans="2:11" ht="10.5" hidden="1" customHeight="1" x14ac:dyDescent="0.2">
      <c r="B24" s="15"/>
      <c r="C24" s="20"/>
      <c r="D24" s="20"/>
      <c r="F24" s="20"/>
      <c r="G24" s="20"/>
      <c r="H24" s="15"/>
      <c r="J24" s="20"/>
      <c r="K24" s="20"/>
    </row>
    <row r="25" spans="2:11" ht="10.5" hidden="1" customHeight="1" x14ac:dyDescent="0.2">
      <c r="B25" s="13" t="s">
        <v>72</v>
      </c>
      <c r="C25" s="12"/>
      <c r="D25" s="12">
        <v>0</v>
      </c>
      <c r="F25" s="12"/>
      <c r="G25" s="12"/>
      <c r="H25" s="12"/>
      <c r="J25" s="12"/>
      <c r="K25" s="12">
        <f>D25</f>
        <v>0</v>
      </c>
    </row>
    <row r="26" spans="2:11" ht="10.5" customHeight="1" thickBot="1" x14ac:dyDescent="0.25">
      <c r="B26" s="13" t="s">
        <v>56</v>
      </c>
      <c r="C26" s="12">
        <v>-5818707</v>
      </c>
      <c r="D26" s="12">
        <f>1202784.88-2584892.2</f>
        <v>-1382107.3200000003</v>
      </c>
      <c r="F26" s="12">
        <v>0</v>
      </c>
      <c r="G26" s="12">
        <v>0</v>
      </c>
      <c r="H26" s="12"/>
      <c r="J26" s="12">
        <v>0</v>
      </c>
      <c r="K26" s="12">
        <v>0</v>
      </c>
    </row>
    <row r="27" spans="2:11" ht="12.75" hidden="1" thickBot="1" x14ac:dyDescent="0.25">
      <c r="B27" s="15"/>
      <c r="C27" s="21"/>
      <c r="D27" s="21"/>
      <c r="F27" s="21"/>
      <c r="G27" s="21"/>
      <c r="H27" s="15"/>
      <c r="J27" s="21"/>
      <c r="K27" s="21"/>
    </row>
    <row r="28" spans="2:11" ht="12.75" thickBot="1" x14ac:dyDescent="0.25">
      <c r="B28" s="15" t="s">
        <v>28</v>
      </c>
      <c r="C28" s="16">
        <f>C26+C23+C21</f>
        <v>-5969765.8200000003</v>
      </c>
      <c r="D28" s="16">
        <f>D25+D26+D23+D21</f>
        <v>-1551313.1300000004</v>
      </c>
      <c r="F28" s="16">
        <f>F23+F21</f>
        <v>-5818707.9900000002</v>
      </c>
      <c r="G28" s="16">
        <f>G23+G21</f>
        <v>-2686351.5400000005</v>
      </c>
      <c r="H28" s="11"/>
      <c r="J28" s="16">
        <f>J23+J21</f>
        <v>-5969767.1200000001</v>
      </c>
      <c r="K28" s="16">
        <f>K25+K26+K23+K21</f>
        <v>-2984784</v>
      </c>
    </row>
    <row r="29" spans="2:11" ht="12.75" hidden="1" thickBot="1" x14ac:dyDescent="0.25">
      <c r="B29" s="15"/>
      <c r="C29" s="19"/>
      <c r="D29" s="19"/>
      <c r="F29" s="19"/>
      <c r="G29" s="19"/>
      <c r="H29" s="15"/>
      <c r="J29" s="19"/>
      <c r="K29" s="19"/>
    </row>
    <row r="30" spans="2:11" ht="12.75" thickBot="1" x14ac:dyDescent="0.25">
      <c r="B30" s="15" t="s">
        <v>29</v>
      </c>
      <c r="C30" s="19">
        <v>0</v>
      </c>
      <c r="D30" s="16">
        <v>-152.46</v>
      </c>
      <c r="F30" s="19">
        <v>0</v>
      </c>
      <c r="G30" s="19">
        <v>0</v>
      </c>
      <c r="H30" s="15"/>
      <c r="J30" s="19">
        <v>0</v>
      </c>
      <c r="K30" s="16">
        <v>-17730</v>
      </c>
    </row>
    <row r="31" spans="2:11" ht="12.75" thickBot="1" x14ac:dyDescent="0.25">
      <c r="B31" s="15" t="s">
        <v>73</v>
      </c>
      <c r="C31" s="16">
        <f>C28</f>
        <v>-5969765.8200000003</v>
      </c>
      <c r="D31" s="16">
        <f>D30+D28</f>
        <v>-1551465.5900000003</v>
      </c>
      <c r="F31" s="16">
        <f>F28</f>
        <v>-5818707.9900000002</v>
      </c>
      <c r="G31" s="16">
        <f>G28</f>
        <v>-2686351.5400000005</v>
      </c>
      <c r="H31" s="11"/>
      <c r="J31" s="16">
        <f>J28</f>
        <v>-5969767.1200000001</v>
      </c>
      <c r="K31" s="16">
        <f>K30+K28</f>
        <v>-3002514</v>
      </c>
    </row>
    <row r="32" spans="2:11" ht="12.75" hidden="1" thickBot="1" x14ac:dyDescent="0.25">
      <c r="B32" s="15"/>
      <c r="C32" s="19"/>
      <c r="D32" s="19"/>
      <c r="F32" s="19"/>
      <c r="G32" s="19"/>
      <c r="H32" s="15"/>
      <c r="J32" s="19"/>
      <c r="K32" s="19"/>
    </row>
    <row r="33" spans="2:11" hidden="1" x14ac:dyDescent="0.2">
      <c r="B33" s="13" t="s">
        <v>74</v>
      </c>
      <c r="C33" s="12">
        <f>C31*99.9997%</f>
        <v>-5969747.9107025405</v>
      </c>
      <c r="D33" s="12">
        <v>-2684834</v>
      </c>
      <c r="F33" s="12">
        <v>-5818132</v>
      </c>
      <c r="G33" s="17">
        <v>-2686086</v>
      </c>
      <c r="H33" s="12"/>
      <c r="J33" s="12">
        <f>J31*99.9997%</f>
        <v>-5969749.21069864</v>
      </c>
      <c r="K33" s="17">
        <v>-2684834</v>
      </c>
    </row>
    <row r="34" spans="2:11" hidden="1" x14ac:dyDescent="0.2">
      <c r="B34" s="13" t="s">
        <v>75</v>
      </c>
      <c r="C34" s="12">
        <f>C31-C33</f>
        <v>-17.909297459758818</v>
      </c>
      <c r="D34" s="12">
        <v>-2855</v>
      </c>
      <c r="F34" s="13">
        <v>-576</v>
      </c>
      <c r="G34" s="13">
        <v>-266</v>
      </c>
      <c r="H34" s="13"/>
      <c r="J34" s="12">
        <f>J31-J33</f>
        <v>-17.909301360137761</v>
      </c>
      <c r="K34" s="12">
        <v>-2855</v>
      </c>
    </row>
    <row r="38" spans="2:11" x14ac:dyDescent="0.2">
      <c r="G38" s="4"/>
    </row>
    <row r="47" spans="2:11" ht="15" hidden="1" customHeight="1" x14ac:dyDescent="0.2"/>
    <row r="48" spans="2:11" ht="15" hidden="1" customHeight="1" x14ac:dyDescent="0.2"/>
    <row r="49" ht="15" hidden="1" customHeight="1" x14ac:dyDescent="0.2"/>
    <row r="50" ht="15" hidden="1" customHeight="1" x14ac:dyDescent="0.2"/>
    <row r="51" ht="15" hidden="1" customHeight="1" x14ac:dyDescent="0.2"/>
    <row r="52" ht="15" hidden="1" customHeight="1" x14ac:dyDescent="0.2"/>
    <row r="53" ht="15" hidden="1" customHeight="1" x14ac:dyDescent="0.2"/>
  </sheetData>
  <mergeCells count="3">
    <mergeCell ref="J1:K1"/>
    <mergeCell ref="C1:D1"/>
    <mergeCell ref="F1:G1"/>
  </mergeCells>
  <pageMargins left="0.511811024" right="0.511811024" top="0.78740157499999996" bottom="0.78740157499999996" header="0.31496062000000002" footer="0.3149606200000000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F3512D-777A-45B7-B029-6C79CD2CCC34}">
  <dimension ref="A1:L54"/>
  <sheetViews>
    <sheetView showGridLines="0" topLeftCell="A2" zoomScaleNormal="100" workbookViewId="0">
      <selection activeCell="A2" sqref="A2:XFD4"/>
    </sheetView>
  </sheetViews>
  <sheetFormatPr defaultRowHeight="12" x14ac:dyDescent="0.2"/>
  <cols>
    <col min="1" max="1" width="9.140625" style="1"/>
    <col min="2" max="2" width="4.7109375" style="1" customWidth="1"/>
    <col min="3" max="3" width="56.42578125" style="1" customWidth="1"/>
    <col min="4" max="5" width="10.5703125" style="1" bestFit="1" customWidth="1"/>
    <col min="6" max="6" width="4.7109375" style="1" customWidth="1"/>
    <col min="7" max="7" width="10.85546875" style="1" hidden="1" customWidth="1"/>
    <col min="8" max="8" width="10.5703125" style="1" hidden="1" customWidth="1"/>
    <col min="9" max="10" width="0" style="1" hidden="1" customWidth="1"/>
    <col min="11" max="12" width="10.85546875" style="1" hidden="1" customWidth="1"/>
    <col min="13" max="16384" width="9.140625" style="1"/>
  </cols>
  <sheetData>
    <row r="1" spans="1:12" ht="12.75" hidden="1" thickBot="1" x14ac:dyDescent="0.25">
      <c r="D1" s="58" t="s">
        <v>57</v>
      </c>
      <c r="E1" s="58"/>
      <c r="F1" s="2"/>
      <c r="G1" s="58" t="s">
        <v>58</v>
      </c>
      <c r="H1" s="58"/>
      <c r="I1" s="3"/>
      <c r="J1" s="3"/>
      <c r="K1" s="58" t="s">
        <v>59</v>
      </c>
      <c r="L1" s="58"/>
    </row>
    <row r="2" spans="1:12" s="62" customFormat="1" x14ac:dyDescent="0.2">
      <c r="A2" s="60" t="s">
        <v>96</v>
      </c>
      <c r="B2" s="61"/>
      <c r="C2" s="60"/>
      <c r="D2" s="60"/>
      <c r="E2" s="60"/>
      <c r="G2" s="60"/>
      <c r="H2" s="60"/>
      <c r="I2" s="60"/>
    </row>
    <row r="3" spans="1:12" s="62" customFormat="1" x14ac:dyDescent="0.2">
      <c r="A3" s="60" t="s">
        <v>97</v>
      </c>
      <c r="B3" s="61"/>
      <c r="C3" s="61"/>
      <c r="D3" s="61"/>
      <c r="E3" s="61"/>
      <c r="G3" s="61"/>
      <c r="H3" s="61"/>
      <c r="I3" s="61"/>
    </row>
    <row r="4" spans="1:12" s="62" customFormat="1" x14ac:dyDescent="0.2">
      <c r="A4" s="60" t="s">
        <v>98</v>
      </c>
      <c r="B4" s="61"/>
      <c r="C4" s="60"/>
      <c r="D4" s="60"/>
      <c r="E4" s="60"/>
      <c r="G4" s="60"/>
      <c r="H4" s="60"/>
      <c r="I4" s="60"/>
    </row>
    <row r="5" spans="1:12" ht="9.75" customHeight="1" thickBot="1" x14ac:dyDescent="0.25">
      <c r="D5" s="22">
        <v>43465</v>
      </c>
      <c r="E5" s="23" t="s">
        <v>95</v>
      </c>
      <c r="G5" s="22">
        <v>43830</v>
      </c>
      <c r="H5" s="23">
        <v>43465</v>
      </c>
      <c r="K5" s="22">
        <v>43830</v>
      </c>
      <c r="L5" s="23">
        <v>43465</v>
      </c>
    </row>
    <row r="6" spans="1:12" ht="9.75" customHeight="1" x14ac:dyDescent="0.2">
      <c r="B6" s="9"/>
      <c r="C6" s="9"/>
      <c r="D6" s="24"/>
      <c r="E6" s="25"/>
      <c r="G6" s="24"/>
      <c r="H6" s="25"/>
      <c r="K6" s="24"/>
      <c r="L6" s="25"/>
    </row>
    <row r="7" spans="1:12" ht="9.75" customHeight="1" x14ac:dyDescent="0.2">
      <c r="B7" s="15" t="s">
        <v>30</v>
      </c>
      <c r="C7" s="15"/>
    </row>
    <row r="8" spans="1:12" ht="9.75" customHeight="1" x14ac:dyDescent="0.2">
      <c r="C8" s="13" t="s">
        <v>73</v>
      </c>
      <c r="D8" s="26">
        <f>[1]DRE!C28</f>
        <v>-5969765.8200000003</v>
      </c>
      <c r="E8" s="26">
        <f>DRE!D31</f>
        <v>-1551465.5900000003</v>
      </c>
      <c r="G8" s="26">
        <f>[1]DRE!F25</f>
        <v>-5818707.9900000002</v>
      </c>
      <c r="H8" s="26">
        <f>[1]DRE!G28</f>
        <v>-2686351.5400000005</v>
      </c>
      <c r="K8" s="26">
        <v>-5969767</v>
      </c>
      <c r="L8" s="26">
        <f>[1]DRE!K28</f>
        <v>-2687689</v>
      </c>
    </row>
    <row r="9" spans="1:12" ht="9.75" customHeight="1" x14ac:dyDescent="0.2">
      <c r="C9" s="13" t="s">
        <v>31</v>
      </c>
      <c r="D9" s="12">
        <v>13946</v>
      </c>
      <c r="E9" s="12">
        <v>4649</v>
      </c>
      <c r="G9" s="12">
        <f>86377.52+70691.68</f>
        <v>157069.20000000001</v>
      </c>
      <c r="H9" s="12">
        <v>192807</v>
      </c>
      <c r="K9" s="12">
        <v>171015</v>
      </c>
      <c r="L9" s="12">
        <v>197519</v>
      </c>
    </row>
    <row r="10" spans="1:12" ht="9.75" customHeight="1" x14ac:dyDescent="0.2">
      <c r="C10" s="13" t="s">
        <v>76</v>
      </c>
      <c r="D10" s="12">
        <v>0</v>
      </c>
      <c r="E10" s="12">
        <v>-58929</v>
      </c>
      <c r="G10" s="12"/>
      <c r="H10" s="12"/>
      <c r="K10" s="12"/>
      <c r="L10" s="12"/>
    </row>
    <row r="11" spans="1:12" ht="9.75" customHeight="1" thickBot="1" x14ac:dyDescent="0.25">
      <c r="C11" s="13" t="s">
        <v>56</v>
      </c>
      <c r="D11" s="12">
        <f>-[1]DRE!C23</f>
        <v>5818707</v>
      </c>
      <c r="E11" s="12">
        <v>2830620</v>
      </c>
      <c r="G11" s="12"/>
      <c r="H11" s="12"/>
      <c r="K11" s="12">
        <v>0</v>
      </c>
      <c r="L11" s="12"/>
    </row>
    <row r="12" spans="1:12" ht="12.75" hidden="1" thickBot="1" x14ac:dyDescent="0.25">
      <c r="C12" s="27" t="s">
        <v>77</v>
      </c>
      <c r="D12" s="12">
        <v>0</v>
      </c>
      <c r="E12" s="12"/>
      <c r="G12" s="12">
        <v>0</v>
      </c>
      <c r="H12" s="12">
        <v>7584</v>
      </c>
      <c r="K12" s="12">
        <v>0</v>
      </c>
      <c r="L12" s="12">
        <v>7584</v>
      </c>
    </row>
    <row r="13" spans="1:12" ht="9.75" customHeight="1" thickBot="1" x14ac:dyDescent="0.25">
      <c r="B13" s="15" t="s">
        <v>78</v>
      </c>
      <c r="C13" s="15"/>
      <c r="D13" s="28">
        <f>SUM(D8:D12)</f>
        <v>-137112.8200000003</v>
      </c>
      <c r="E13" s="28">
        <f>SUM(E8:E12)</f>
        <v>1224874.4099999997</v>
      </c>
      <c r="G13" s="28">
        <f>SUM(G8:G12)</f>
        <v>-5661638.79</v>
      </c>
      <c r="H13" s="28">
        <f>SUM(H8:H12)</f>
        <v>-2485960.5400000005</v>
      </c>
      <c r="K13" s="28">
        <f>SUM(K8:K12)</f>
        <v>-5798752</v>
      </c>
      <c r="L13" s="28">
        <f>SUM(L8:L12)</f>
        <v>-2482586</v>
      </c>
    </row>
    <row r="14" spans="1:12" ht="9.75" hidden="1" customHeight="1" thickBot="1" x14ac:dyDescent="0.25">
      <c r="B14" s="15"/>
      <c r="C14" s="15"/>
      <c r="D14" s="29"/>
      <c r="E14" s="29"/>
      <c r="G14" s="29"/>
      <c r="H14" s="29"/>
      <c r="K14" s="29"/>
      <c r="L14" s="29"/>
    </row>
    <row r="15" spans="1:12" ht="9.75" customHeight="1" x14ac:dyDescent="0.2">
      <c r="B15" s="15" t="s">
        <v>32</v>
      </c>
      <c r="C15" s="15"/>
    </row>
    <row r="16" spans="1:12" ht="9.75" hidden="1" customHeight="1" x14ac:dyDescent="0.2">
      <c r="C16" s="9" t="s">
        <v>3</v>
      </c>
      <c r="D16" s="26">
        <v>0</v>
      </c>
      <c r="E16" s="26">
        <v>0</v>
      </c>
      <c r="G16" s="26">
        <v>-28928</v>
      </c>
      <c r="H16" s="26">
        <v>-2510890</v>
      </c>
      <c r="K16" s="26">
        <v>-28928</v>
      </c>
      <c r="L16" s="26">
        <v>-2510890</v>
      </c>
    </row>
    <row r="17" spans="2:12" ht="9.75" customHeight="1" x14ac:dyDescent="0.2">
      <c r="C17" s="9" t="s">
        <v>4</v>
      </c>
      <c r="D17" s="26">
        <v>-4080</v>
      </c>
      <c r="E17" s="26">
        <v>-8044</v>
      </c>
      <c r="G17" s="26">
        <v>0</v>
      </c>
      <c r="H17" s="26">
        <v>13576</v>
      </c>
      <c r="K17" s="26">
        <v>-4080</v>
      </c>
      <c r="L17" s="26">
        <v>13097</v>
      </c>
    </row>
    <row r="18" spans="2:12" ht="9.75" hidden="1" customHeight="1" x14ac:dyDescent="0.2">
      <c r="C18" s="9" t="s">
        <v>5</v>
      </c>
      <c r="D18" s="26">
        <v>0</v>
      </c>
      <c r="E18" s="26">
        <v>0</v>
      </c>
      <c r="G18" s="26">
        <v>-24932</v>
      </c>
      <c r="H18" s="26">
        <v>17880</v>
      </c>
      <c r="K18" s="26">
        <v>-24932</v>
      </c>
      <c r="L18" s="26">
        <v>17879</v>
      </c>
    </row>
    <row r="19" spans="2:12" ht="9.75" customHeight="1" x14ac:dyDescent="0.2">
      <c r="C19" s="9" t="s">
        <v>6</v>
      </c>
      <c r="D19" s="26">
        <v>-17288</v>
      </c>
      <c r="E19" s="26">
        <v>24202</v>
      </c>
      <c r="G19" s="30">
        <v>0</v>
      </c>
      <c r="H19" s="30">
        <v>667</v>
      </c>
      <c r="K19" s="26">
        <v>-17288</v>
      </c>
      <c r="L19" s="26">
        <v>26180</v>
      </c>
    </row>
    <row r="20" spans="2:12" ht="9.75" hidden="1" customHeight="1" x14ac:dyDescent="0.2">
      <c r="C20" s="9" t="s">
        <v>79</v>
      </c>
      <c r="D20" s="26">
        <v>0</v>
      </c>
      <c r="E20" s="26">
        <v>0</v>
      </c>
      <c r="G20" s="26">
        <v>-79858</v>
      </c>
      <c r="H20" s="30"/>
      <c r="K20" s="26">
        <v>-79858</v>
      </c>
      <c r="L20" s="30"/>
    </row>
    <row r="21" spans="2:12" ht="9.75" hidden="1" customHeight="1" x14ac:dyDescent="0.2">
      <c r="B21" s="30"/>
      <c r="C21" s="9"/>
      <c r="D21" s="30"/>
      <c r="E21" s="30"/>
      <c r="G21" s="30"/>
      <c r="H21" s="30"/>
      <c r="K21" s="30"/>
      <c r="L21" s="30"/>
    </row>
    <row r="22" spans="2:12" ht="9.75" customHeight="1" x14ac:dyDescent="0.2">
      <c r="B22" s="15" t="s">
        <v>33</v>
      </c>
      <c r="C22" s="15"/>
      <c r="E22" s="15"/>
      <c r="H22" s="15"/>
      <c r="L22" s="15"/>
    </row>
    <row r="23" spans="2:12" ht="9.75" customHeight="1" thickBot="1" x14ac:dyDescent="0.25">
      <c r="C23" s="9" t="s">
        <v>12</v>
      </c>
      <c r="D23" s="26">
        <v>39479</v>
      </c>
      <c r="E23" s="26">
        <v>33</v>
      </c>
      <c r="G23" s="26">
        <v>1613</v>
      </c>
      <c r="H23" s="26">
        <v>-21809</v>
      </c>
      <c r="K23" s="26">
        <v>41093</v>
      </c>
      <c r="L23" s="26">
        <v>-22282</v>
      </c>
    </row>
    <row r="24" spans="2:12" ht="9.75" hidden="1" customHeight="1" x14ac:dyDescent="0.2">
      <c r="C24" s="9" t="s">
        <v>14</v>
      </c>
      <c r="D24" s="26">
        <v>0</v>
      </c>
      <c r="E24" s="26">
        <v>0</v>
      </c>
      <c r="G24" s="26">
        <v>205855</v>
      </c>
      <c r="H24" s="26">
        <v>206253</v>
      </c>
      <c r="K24" s="26">
        <v>205855</v>
      </c>
      <c r="L24" s="26">
        <v>178285</v>
      </c>
    </row>
    <row r="25" spans="2:12" ht="9.75" hidden="1" customHeight="1" x14ac:dyDescent="0.2">
      <c r="C25" s="9" t="s">
        <v>15</v>
      </c>
      <c r="D25" s="26">
        <v>0</v>
      </c>
      <c r="E25" s="26">
        <v>0</v>
      </c>
      <c r="G25" s="26">
        <v>133593</v>
      </c>
      <c r="H25" s="26">
        <v>127477</v>
      </c>
      <c r="K25" s="26">
        <v>133593</v>
      </c>
      <c r="L25" s="26">
        <v>126401</v>
      </c>
    </row>
    <row r="26" spans="2:12" ht="9.75" hidden="1" customHeight="1" x14ac:dyDescent="0.2">
      <c r="C26" s="9" t="s">
        <v>46</v>
      </c>
      <c r="D26" s="26">
        <v>0</v>
      </c>
      <c r="E26" s="26">
        <v>0</v>
      </c>
      <c r="G26" s="26"/>
      <c r="H26" s="26"/>
      <c r="K26" s="26"/>
      <c r="L26" s="26"/>
    </row>
    <row r="27" spans="2:12" ht="9.75" hidden="1" customHeight="1" x14ac:dyDescent="0.2">
      <c r="C27" s="9" t="s">
        <v>16</v>
      </c>
      <c r="D27" s="26">
        <v>0</v>
      </c>
      <c r="E27" s="26">
        <v>0</v>
      </c>
      <c r="G27" s="26">
        <v>711</v>
      </c>
      <c r="H27" s="26">
        <v>15649</v>
      </c>
      <c r="K27" s="26">
        <v>711</v>
      </c>
      <c r="L27" s="26">
        <v>17637</v>
      </c>
    </row>
    <row r="28" spans="2:12" ht="9.75" hidden="1" customHeight="1" x14ac:dyDescent="0.2">
      <c r="C28" s="9" t="s">
        <v>47</v>
      </c>
      <c r="D28" s="26"/>
      <c r="E28" s="26"/>
      <c r="G28" s="26"/>
      <c r="H28" s="26"/>
      <c r="K28" s="26"/>
      <c r="L28" s="26">
        <v>-3300</v>
      </c>
    </row>
    <row r="29" spans="2:12" ht="9.75" hidden="1" customHeight="1" thickBot="1" x14ac:dyDescent="0.25">
      <c r="B29" s="30"/>
      <c r="C29" s="9"/>
      <c r="D29" s="30"/>
      <c r="E29" s="30"/>
      <c r="G29" s="30"/>
      <c r="H29" s="30"/>
      <c r="K29" s="30"/>
      <c r="L29" s="30"/>
    </row>
    <row r="30" spans="2:12" ht="9.75" customHeight="1" thickBot="1" x14ac:dyDescent="0.25">
      <c r="B30" s="15" t="s">
        <v>80</v>
      </c>
      <c r="C30" s="15"/>
      <c r="D30" s="28">
        <f>SUM(D13:D29)</f>
        <v>-119001.8200000003</v>
      </c>
      <c r="E30" s="28">
        <f>SUM(E13:E29)</f>
        <v>1241065.4099999997</v>
      </c>
      <c r="G30" s="28">
        <f>SUM(G13:G29)</f>
        <v>-5453584.79</v>
      </c>
      <c r="H30" s="28">
        <f>SUM(H13:H29)</f>
        <v>-4637157.540000001</v>
      </c>
      <c r="K30" s="28">
        <f>SUM(K13:K29)</f>
        <v>-5572586</v>
      </c>
      <c r="L30" s="28">
        <f>SUM(L13:L29)</f>
        <v>-4639579</v>
      </c>
    </row>
    <row r="31" spans="2:12" ht="9.75" hidden="1" customHeight="1" x14ac:dyDescent="0.2">
      <c r="B31" s="15"/>
      <c r="C31" s="15"/>
      <c r="D31" s="31"/>
      <c r="E31" s="31"/>
      <c r="G31" s="31"/>
      <c r="H31" s="31"/>
      <c r="K31" s="31"/>
      <c r="L31" s="31"/>
    </row>
    <row r="32" spans="2:12" ht="9.75" hidden="1" customHeight="1" x14ac:dyDescent="0.2">
      <c r="B32" s="15" t="s">
        <v>34</v>
      </c>
      <c r="C32" s="15"/>
    </row>
    <row r="33" spans="2:12" ht="9.75" hidden="1" customHeight="1" x14ac:dyDescent="0.2">
      <c r="C33" s="9" t="s">
        <v>35</v>
      </c>
      <c r="D33" s="26">
        <v>0</v>
      </c>
      <c r="E33" s="26">
        <v>0</v>
      </c>
      <c r="G33" s="26">
        <v>0</v>
      </c>
      <c r="H33" s="26">
        <v>-65999</v>
      </c>
      <c r="K33" s="26">
        <v>0</v>
      </c>
      <c r="L33" s="26">
        <v>-65999</v>
      </c>
    </row>
    <row r="34" spans="2:12" ht="9.75" hidden="1" customHeight="1" thickBot="1" x14ac:dyDescent="0.25">
      <c r="C34" s="9" t="s">
        <v>36</v>
      </c>
      <c r="D34" s="26">
        <v>0</v>
      </c>
      <c r="E34" s="26">
        <v>0</v>
      </c>
      <c r="G34" s="26">
        <v>-23400</v>
      </c>
      <c r="H34" s="26">
        <v>-119464</v>
      </c>
      <c r="K34" s="26">
        <v>-23400</v>
      </c>
      <c r="L34" s="26">
        <v>-119464</v>
      </c>
    </row>
    <row r="35" spans="2:12" ht="9.75" hidden="1" customHeight="1" thickBot="1" x14ac:dyDescent="0.25">
      <c r="C35" s="9"/>
      <c r="D35" s="26"/>
      <c r="E35" s="26"/>
      <c r="G35" s="26"/>
      <c r="H35" s="26"/>
      <c r="K35" s="26"/>
      <c r="L35" s="26">
        <v>2830</v>
      </c>
    </row>
    <row r="36" spans="2:12" ht="9.75" hidden="1" customHeight="1" thickBot="1" x14ac:dyDescent="0.25">
      <c r="B36" s="15" t="s">
        <v>81</v>
      </c>
      <c r="C36" s="15"/>
      <c r="D36" s="28">
        <f>SUM(D33:D34)</f>
        <v>0</v>
      </c>
      <c r="E36" s="28">
        <f>SUM(E33:E34)</f>
        <v>0</v>
      </c>
      <c r="G36" s="28">
        <f>SUM(G33:G34)</f>
        <v>-23400</v>
      </c>
      <c r="H36" s="28">
        <f>SUM(H33:H34)</f>
        <v>-185463</v>
      </c>
      <c r="K36" s="28">
        <f>SUM(K33:K34)</f>
        <v>-23400</v>
      </c>
      <c r="L36" s="28">
        <f>SUM(L33:L35)</f>
        <v>-182633</v>
      </c>
    </row>
    <row r="37" spans="2:12" ht="9.75" hidden="1" customHeight="1" x14ac:dyDescent="0.2">
      <c r="B37" s="15"/>
      <c r="C37" s="15"/>
      <c r="D37" s="31"/>
      <c r="E37" s="31"/>
      <c r="G37" s="31"/>
      <c r="H37" s="31"/>
      <c r="K37" s="31"/>
      <c r="L37" s="31"/>
    </row>
    <row r="38" spans="2:12" ht="9.75" customHeight="1" x14ac:dyDescent="0.2">
      <c r="B38" s="15" t="s">
        <v>37</v>
      </c>
      <c r="C38" s="15"/>
    </row>
    <row r="39" spans="2:12" ht="9.75" customHeight="1" x14ac:dyDescent="0.2">
      <c r="C39" s="9" t="s">
        <v>82</v>
      </c>
      <c r="D39" s="30"/>
      <c r="E39" s="26"/>
      <c r="G39" s="30"/>
      <c r="H39" s="26"/>
      <c r="K39" s="30"/>
      <c r="L39" s="26"/>
    </row>
    <row r="40" spans="2:12" ht="9.75" customHeight="1" x14ac:dyDescent="0.2">
      <c r="C40" s="9" t="s">
        <v>55</v>
      </c>
      <c r="D40" s="26">
        <v>5619776</v>
      </c>
      <c r="E40" s="26">
        <v>4424900</v>
      </c>
      <c r="G40" s="26"/>
      <c r="H40" s="30"/>
      <c r="K40" s="26">
        <f>D40</f>
        <v>5619776</v>
      </c>
      <c r="L40" s="30">
        <v>4424900</v>
      </c>
    </row>
    <row r="41" spans="2:12" ht="9.75" hidden="1" customHeight="1" x14ac:dyDescent="0.2">
      <c r="C41" s="9" t="s">
        <v>54</v>
      </c>
      <c r="D41" s="26">
        <v>0</v>
      </c>
      <c r="E41" s="26">
        <v>0</v>
      </c>
      <c r="G41" s="26">
        <v>57000</v>
      </c>
      <c r="H41" s="26">
        <v>-24672</v>
      </c>
      <c r="K41" s="26">
        <v>57000</v>
      </c>
      <c r="L41" s="26">
        <v>-24672</v>
      </c>
    </row>
    <row r="42" spans="2:12" ht="9.75" customHeight="1" thickBot="1" x14ac:dyDescent="0.25">
      <c r="B42" s="13"/>
      <c r="C42" s="9" t="s">
        <v>83</v>
      </c>
      <c r="D42" s="26">
        <v>-5380400</v>
      </c>
      <c r="E42" s="26">
        <v>-4808904</v>
      </c>
      <c r="G42" s="26">
        <v>5380400</v>
      </c>
      <c r="H42" s="26">
        <v>4805604</v>
      </c>
      <c r="K42" s="26">
        <v>0</v>
      </c>
      <c r="L42" s="26">
        <v>0</v>
      </c>
    </row>
    <row r="43" spans="2:12" ht="9.75" customHeight="1" thickBot="1" x14ac:dyDescent="0.25">
      <c r="B43" s="15" t="s">
        <v>84</v>
      </c>
      <c r="C43" s="15"/>
      <c r="D43" s="28">
        <f>SUM(D39:D42)</f>
        <v>239376</v>
      </c>
      <c r="E43" s="28">
        <f>SUM(E39:E42)</f>
        <v>-384004</v>
      </c>
      <c r="G43" s="28">
        <f>SUM(G39:G42)</f>
        <v>5437400</v>
      </c>
      <c r="H43" s="28">
        <f>SUM(H39:H42)</f>
        <v>4780932</v>
      </c>
      <c r="K43" s="28">
        <f>SUM(K39:K42)</f>
        <v>5676776</v>
      </c>
      <c r="L43" s="28">
        <f>SUM(L39:L42)</f>
        <v>4400228</v>
      </c>
    </row>
    <row r="44" spans="2:12" ht="9.75" hidden="1" customHeight="1" thickBot="1" x14ac:dyDescent="0.25">
      <c r="B44" s="15"/>
      <c r="C44" s="15"/>
      <c r="D44" s="29"/>
      <c r="E44" s="29"/>
      <c r="G44" s="29"/>
      <c r="H44" s="29"/>
      <c r="K44" s="29"/>
      <c r="L44" s="29"/>
    </row>
    <row r="45" spans="2:12" ht="9.75" customHeight="1" thickBot="1" x14ac:dyDescent="0.25">
      <c r="B45" s="15" t="s">
        <v>38</v>
      </c>
      <c r="C45" s="15"/>
      <c r="D45" s="32">
        <f>D43+D36+D30</f>
        <v>120374.1799999997</v>
      </c>
      <c r="E45" s="32">
        <f>E43+E36+E30</f>
        <v>857061.40999999968</v>
      </c>
      <c r="G45" s="32">
        <f>G43+G36+G30</f>
        <v>-39584.790000000037</v>
      </c>
      <c r="H45" s="32">
        <f>H43+H36+H30</f>
        <v>-41688.540000000969</v>
      </c>
      <c r="K45" s="32">
        <f>K43+K36+K30</f>
        <v>80790</v>
      </c>
      <c r="L45" s="32">
        <f>L43+L36+L30</f>
        <v>-421984</v>
      </c>
    </row>
    <row r="46" spans="2:12" ht="9.75" hidden="1" customHeight="1" thickBot="1" x14ac:dyDescent="0.25">
      <c r="B46" s="15"/>
      <c r="C46" s="15"/>
      <c r="D46" s="29"/>
      <c r="E46" s="29"/>
      <c r="G46" s="29"/>
      <c r="H46" s="29"/>
      <c r="K46" s="29"/>
      <c r="L46" s="29"/>
    </row>
    <row r="47" spans="2:12" ht="9.75" customHeight="1" thickBot="1" x14ac:dyDescent="0.25">
      <c r="B47" s="15" t="s">
        <v>39</v>
      </c>
      <c r="C47" s="15"/>
      <c r="D47" s="32">
        <f>[1]Balanço!D5</f>
        <v>621955.24</v>
      </c>
      <c r="E47" s="32">
        <v>901116.71</v>
      </c>
      <c r="G47" s="32">
        <v>51660</v>
      </c>
      <c r="H47" s="32">
        <v>93349</v>
      </c>
      <c r="K47" s="32">
        <v>673615</v>
      </c>
      <c r="L47" s="32">
        <v>1095599</v>
      </c>
    </row>
    <row r="48" spans="2:12" ht="9.75" hidden="1" customHeight="1" thickBot="1" x14ac:dyDescent="0.25">
      <c r="B48" s="15"/>
      <c r="C48" s="15"/>
      <c r="D48" s="29"/>
      <c r="E48" s="29"/>
      <c r="G48" s="29"/>
      <c r="H48" s="29"/>
      <c r="K48" s="29"/>
      <c r="L48" s="29"/>
    </row>
    <row r="49" spans="2:12" ht="9.75" customHeight="1" x14ac:dyDescent="0.2">
      <c r="B49" s="15" t="s">
        <v>40</v>
      </c>
      <c r="C49" s="15"/>
      <c r="D49" s="33">
        <f>[1]Balanço!C5</f>
        <v>742329.33</v>
      </c>
      <c r="E49" s="33">
        <f>[1]Balanço!D5</f>
        <v>621955.24</v>
      </c>
      <c r="G49" s="33">
        <v>12075</v>
      </c>
      <c r="H49" s="33">
        <v>51660</v>
      </c>
      <c r="K49" s="33">
        <v>754405</v>
      </c>
      <c r="L49" s="33">
        <v>673615</v>
      </c>
    </row>
    <row r="50" spans="2:12" ht="9.75" customHeight="1" x14ac:dyDescent="0.2"/>
    <row r="51" spans="2:12" ht="9.75" customHeight="1" x14ac:dyDescent="0.2">
      <c r="D51" s="4"/>
      <c r="E51" s="4"/>
      <c r="G51" s="4"/>
      <c r="H51" s="4"/>
      <c r="K51" s="4"/>
      <c r="L51" s="4"/>
    </row>
    <row r="52" spans="2:12" x14ac:dyDescent="0.2">
      <c r="D52" s="4"/>
      <c r="E52" s="4"/>
      <c r="G52" s="4"/>
      <c r="H52" s="4"/>
      <c r="K52" s="4"/>
      <c r="L52" s="4"/>
    </row>
    <row r="54" spans="2:12" x14ac:dyDescent="0.2">
      <c r="D54" s="4"/>
      <c r="E54" s="4"/>
    </row>
  </sheetData>
  <mergeCells count="3">
    <mergeCell ref="D1:E1"/>
    <mergeCell ref="G1:H1"/>
    <mergeCell ref="K1:L1"/>
  </mergeCells>
  <pageMargins left="0.511811024" right="0.511811024" top="0.78740157499999996" bottom="0.78740157499999996" header="0.31496062000000002" footer="0.3149606200000000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E5B332-AB97-4083-B4C6-6AD753BC716A}">
  <sheetPr>
    <tabColor theme="4" tint="-0.249977111117893"/>
  </sheetPr>
  <dimension ref="A1:L17"/>
  <sheetViews>
    <sheetView tabSelected="1" zoomScaleNormal="100" workbookViewId="0">
      <selection activeCell="C21" sqref="C21"/>
    </sheetView>
  </sheetViews>
  <sheetFormatPr defaultRowHeight="12.75" x14ac:dyDescent="0.2"/>
  <cols>
    <col min="1" max="1" width="9.140625" style="34"/>
    <col min="2" max="2" width="25.28515625" style="34" bestFit="1" customWidth="1"/>
    <col min="3" max="3" width="11" style="34" bestFit="1" customWidth="1"/>
    <col min="4" max="4" width="11.28515625" style="34" bestFit="1" customWidth="1"/>
    <col min="5" max="5" width="8.85546875" style="34" bestFit="1" customWidth="1"/>
    <col min="6" max="6" width="13.28515625" style="34" bestFit="1" customWidth="1"/>
    <col min="7" max="7" width="10.42578125" style="34" bestFit="1" customWidth="1"/>
    <col min="8" max="8" width="10.140625" style="34" bestFit="1" customWidth="1"/>
    <col min="9" max="9" width="9.42578125" style="34" bestFit="1" customWidth="1"/>
    <col min="10" max="10" width="9.140625" style="34"/>
    <col min="11" max="11" width="13.28515625" style="34" bestFit="1" customWidth="1"/>
    <col min="12" max="16384" width="9.140625" style="34"/>
  </cols>
  <sheetData>
    <row r="1" spans="1:12" s="62" customFormat="1" ht="12" x14ac:dyDescent="0.2">
      <c r="A1" s="60" t="s">
        <v>96</v>
      </c>
      <c r="B1" s="61"/>
      <c r="C1" s="60"/>
      <c r="D1" s="60"/>
      <c r="E1" s="60"/>
      <c r="G1" s="60"/>
      <c r="H1" s="60"/>
      <c r="I1" s="60"/>
    </row>
    <row r="2" spans="1:12" s="62" customFormat="1" ht="12" x14ac:dyDescent="0.2">
      <c r="A2" s="60" t="s">
        <v>97</v>
      </c>
      <c r="B2" s="61"/>
      <c r="C2" s="61"/>
      <c r="D2" s="61"/>
      <c r="E2" s="61"/>
      <c r="G2" s="61"/>
      <c r="H2" s="61"/>
      <c r="I2" s="61"/>
    </row>
    <row r="3" spans="1:12" s="62" customFormat="1" ht="12" x14ac:dyDescent="0.2">
      <c r="A3" s="60" t="s">
        <v>98</v>
      </c>
      <c r="B3" s="61"/>
      <c r="C3" s="60"/>
      <c r="D3" s="60"/>
      <c r="E3" s="60"/>
      <c r="G3" s="60"/>
      <c r="H3" s="60"/>
      <c r="I3" s="60"/>
    </row>
    <row r="4" spans="1:12" x14ac:dyDescent="0.2">
      <c r="C4" s="59" t="s">
        <v>42</v>
      </c>
      <c r="D4" s="59"/>
    </row>
    <row r="5" spans="1:12" ht="26.25" thickBot="1" x14ac:dyDescent="0.25">
      <c r="B5" s="35" t="s">
        <v>41</v>
      </c>
      <c r="C5" s="36" t="s">
        <v>85</v>
      </c>
      <c r="D5" s="36" t="s">
        <v>86</v>
      </c>
      <c r="E5" s="36" t="s">
        <v>87</v>
      </c>
      <c r="F5" s="36" t="s">
        <v>43</v>
      </c>
      <c r="G5" s="36" t="s">
        <v>88</v>
      </c>
      <c r="H5" s="36" t="s">
        <v>89</v>
      </c>
      <c r="I5" s="36" t="s">
        <v>44</v>
      </c>
    </row>
    <row r="6" spans="1:12" ht="11.25" customHeight="1" x14ac:dyDescent="0.2">
      <c r="F6" s="37"/>
      <c r="G6" s="37"/>
      <c r="H6" s="38"/>
    </row>
    <row r="7" spans="1:12" ht="11.25" customHeight="1" x14ac:dyDescent="0.2">
      <c r="B7" s="39" t="s">
        <v>45</v>
      </c>
      <c r="C7" s="40">
        <v>4412000</v>
      </c>
      <c r="D7" s="40"/>
      <c r="E7" s="40">
        <v>605340</v>
      </c>
      <c r="F7" s="40">
        <v>-2757571</v>
      </c>
      <c r="G7" s="40">
        <v>-2259543</v>
      </c>
      <c r="H7" s="41">
        <v>-226</v>
      </c>
      <c r="I7" s="42">
        <f>C7+E7+F7</f>
        <v>2259769</v>
      </c>
    </row>
    <row r="8" spans="1:12" hidden="1" x14ac:dyDescent="0.2">
      <c r="B8" s="39"/>
      <c r="C8" s="43"/>
      <c r="D8" s="43"/>
      <c r="E8" s="43"/>
      <c r="F8" s="44"/>
      <c r="G8" s="44"/>
      <c r="H8" s="45"/>
      <c r="I8" s="43"/>
    </row>
    <row r="9" spans="1:12" x14ac:dyDescent="0.2">
      <c r="B9" s="39" t="s">
        <v>90</v>
      </c>
      <c r="C9" s="43">
        <f>340000+665800+4000000</f>
        <v>5005800</v>
      </c>
      <c r="D9" s="43">
        <f>-2516400+1935500</f>
        <v>-580900</v>
      </c>
      <c r="E9" s="43"/>
      <c r="F9" s="44"/>
      <c r="G9" s="44"/>
      <c r="H9" s="45"/>
      <c r="I9" s="43">
        <f>C9+D9</f>
        <v>4424900</v>
      </c>
    </row>
    <row r="10" spans="1:12" ht="29.25" hidden="1" customHeight="1" x14ac:dyDescent="0.2">
      <c r="B10" s="39"/>
      <c r="C10" s="43"/>
      <c r="D10" s="43"/>
      <c r="E10" s="43"/>
      <c r="F10" s="44"/>
      <c r="G10" s="44"/>
      <c r="H10" s="45"/>
      <c r="I10" s="43"/>
    </row>
    <row r="11" spans="1:12" ht="13.5" thickBot="1" x14ac:dyDescent="0.25">
      <c r="B11" s="38" t="s">
        <v>91</v>
      </c>
      <c r="C11" s="46" t="s">
        <v>92</v>
      </c>
      <c r="D11" s="46"/>
      <c r="E11" s="46"/>
      <c r="F11" s="47">
        <v>-2687689</v>
      </c>
      <c r="G11" s="47">
        <v>-2684834</v>
      </c>
      <c r="H11" s="47">
        <v>-2855</v>
      </c>
      <c r="I11" s="48">
        <f>F11</f>
        <v>-2687689</v>
      </c>
    </row>
    <row r="12" spans="1:12" ht="13.5" hidden="1" thickBot="1" x14ac:dyDescent="0.25">
      <c r="F12" s="37"/>
      <c r="G12" s="49"/>
      <c r="H12" s="38"/>
    </row>
    <row r="13" spans="1:12" x14ac:dyDescent="0.2">
      <c r="B13" s="39" t="s">
        <v>93</v>
      </c>
      <c r="C13" s="50">
        <f>SUM(C7:C12)</f>
        <v>9417800</v>
      </c>
      <c r="D13" s="50">
        <f>D9</f>
        <v>-580900</v>
      </c>
      <c r="E13" s="50">
        <v>605340</v>
      </c>
      <c r="F13" s="50">
        <f t="shared" ref="F13" si="0">SUM(F7:F12)</f>
        <v>-5445260</v>
      </c>
      <c r="G13" s="50">
        <v>-5435920</v>
      </c>
      <c r="H13" s="50">
        <v>-9340</v>
      </c>
      <c r="I13" s="50">
        <f>SUM(I7:I12)</f>
        <v>3996980</v>
      </c>
    </row>
    <row r="14" spans="1:12" hidden="1" x14ac:dyDescent="0.2">
      <c r="B14" s="39"/>
      <c r="C14" s="51"/>
      <c r="D14" s="51"/>
      <c r="E14" s="51"/>
      <c r="F14" s="44"/>
      <c r="G14" s="44"/>
      <c r="H14" s="45"/>
      <c r="I14" s="51"/>
    </row>
    <row r="15" spans="1:12" ht="13.5" thickBot="1" x14ac:dyDescent="0.25">
      <c r="B15" s="38" t="s">
        <v>91</v>
      </c>
      <c r="C15" s="47">
        <v>5039276</v>
      </c>
      <c r="D15" s="47">
        <v>580500</v>
      </c>
      <c r="E15" s="46"/>
      <c r="F15" s="47">
        <v>-5969766</v>
      </c>
      <c r="G15" s="47">
        <f>-5969748</f>
        <v>-5969748</v>
      </c>
      <c r="H15" s="47">
        <v>-18</v>
      </c>
      <c r="I15" s="48">
        <f>F15</f>
        <v>-5969766</v>
      </c>
      <c r="K15" s="52"/>
      <c r="L15" s="53"/>
    </row>
    <row r="16" spans="1:12" ht="13.5" hidden="1" thickBot="1" x14ac:dyDescent="0.25">
      <c r="C16" s="54"/>
      <c r="D16" s="54"/>
      <c r="E16" s="54"/>
      <c r="F16" s="55"/>
      <c r="G16" s="56"/>
      <c r="H16" s="57"/>
      <c r="I16" s="54"/>
    </row>
    <row r="17" spans="2:9" x14ac:dyDescent="0.2">
      <c r="B17" s="39" t="s">
        <v>93</v>
      </c>
      <c r="C17" s="50">
        <f>SUM(C13:C16)</f>
        <v>14457076</v>
      </c>
      <c r="D17" s="50">
        <f>D13+D15</f>
        <v>-400</v>
      </c>
      <c r="E17" s="50">
        <f>E13</f>
        <v>605340</v>
      </c>
      <c r="F17" s="50">
        <f>SUM(F13:F16)</f>
        <v>-11415026</v>
      </c>
      <c r="G17" s="50">
        <f>SUM(G13:G16)</f>
        <v>-11405668</v>
      </c>
      <c r="H17" s="50">
        <f>SUM(H13:H16)</f>
        <v>-9358</v>
      </c>
      <c r="I17" s="50">
        <f>C17+F17+E17+D17</f>
        <v>3646990</v>
      </c>
    </row>
  </sheetData>
  <mergeCells count="1">
    <mergeCell ref="C4:D4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Balanço</vt:lpstr>
      <vt:lpstr>DRE</vt:lpstr>
      <vt:lpstr>DFC</vt:lpstr>
      <vt:lpstr>DMPL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Caetano Messias</dc:creator>
  <cp:lastModifiedBy>Nicola Marano</cp:lastModifiedBy>
  <dcterms:created xsi:type="dcterms:W3CDTF">2018-08-01T18:10:30Z</dcterms:created>
  <dcterms:modified xsi:type="dcterms:W3CDTF">2022-06-09T19:23:34Z</dcterms:modified>
</cp:coreProperties>
</file>