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Drives compartilhados\Financeiro-PRV\Financeiro\Arquivos\Adm-Fin-Cont\Auditoria\2021\Provu Corban\"/>
    </mc:Choice>
  </mc:AlternateContent>
  <xr:revisionPtr revIDLastSave="0" documentId="13_ncr:1_{327B8ABF-2B67-4D09-854A-FCD6E2FC7CF8}" xr6:coauthVersionLast="47" xr6:coauthVersionMax="47" xr10:uidLastSave="{00000000-0000-0000-0000-000000000000}"/>
  <bookViews>
    <workbookView xWindow="-120" yWindow="-120" windowWidth="20730" windowHeight="11160" tabRatio="770" firstSheet="1" activeTab="6" xr2:uid="{00000000-000D-0000-FFFF-FFFF00000000}"/>
  </bookViews>
  <sheets>
    <sheet name="DFC_Dir" sheetId="12" state="hidden" r:id="rId1"/>
    <sheet name="Ativo" sheetId="27" r:id="rId2"/>
    <sheet name="Passivo" sheetId="28" r:id="rId3"/>
    <sheet name="Result(P)" sheetId="8" r:id="rId4"/>
    <sheet name="Abrang" sheetId="21" r:id="rId5"/>
    <sheet name="Mutações" sheetId="6" r:id="rId6"/>
    <sheet name="DFC" sheetId="30" r:id="rId7"/>
    <sheet name="nota disponibilidades" sheetId="31" state="hidden" r:id="rId8"/>
    <sheet name="nota contas a receber" sheetId="39" state="hidden" r:id="rId9"/>
    <sheet name="nota impostos a recuperar" sheetId="32" state="hidden" r:id="rId10"/>
    <sheet name="nota adiantamento" sheetId="40" state="hidden" r:id="rId11"/>
    <sheet name="nota mutuo" sheetId="43" state="hidden" r:id="rId12"/>
    <sheet name="nota investimento" sheetId="46" state="hidden" r:id="rId13"/>
    <sheet name="nota imobilizado" sheetId="50" state="hidden" r:id="rId14"/>
    <sheet name="nota fornecedores" sheetId="47" state="hidden" r:id="rId15"/>
    <sheet name="nota obrig. trabalhistas" sheetId="42" state="hidden" r:id="rId16"/>
    <sheet name="nota obrig. tributaria" sheetId="36" state="hidden" r:id="rId17"/>
    <sheet name="nota receita" sheetId="44" state="hidden" r:id="rId18"/>
    <sheet name="nota custos" sheetId="48" state="hidden" r:id="rId19"/>
    <sheet name="nota desp. comercial" sheetId="49" state="hidden" r:id="rId20"/>
    <sheet name="nota desp. pessoal" sheetId="45" state="hidden" r:id="rId21"/>
    <sheet name="nota desp. adm" sheetId="37" state="hidden" r:id="rId22"/>
    <sheet name="Desp.-rec. financeira" sheetId="38" state="hidden" r:id="rId23"/>
  </sheets>
  <definedNames>
    <definedName name="_Hlk527110447" localSheetId="13">'nota imobilizado'!#REF!</definedName>
    <definedName name="_xlnm.Print_Area" localSheetId="4">Abrang!$A$1:$D$16</definedName>
    <definedName name="_xlnm.Print_Area" localSheetId="1">Ativo!$A$1:$E$33</definedName>
    <definedName name="_xlnm.Print_Area" localSheetId="6">DFC!$A$1:$C$69</definedName>
    <definedName name="_xlnm.Print_Area" localSheetId="0">DFC_Dir!$A$2:$J$94</definedName>
    <definedName name="_xlnm.Print_Area" localSheetId="5">Mutações!$A$1:$K$53</definedName>
    <definedName name="_xlnm.Print_Area" localSheetId="2">Passivo!$A$1:$E$33</definedName>
    <definedName name="_xlnm.Print_Area" localSheetId="3">'Result(P)'!$A$1:$E$51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8" l="1"/>
  <c r="F6" i="37"/>
  <c r="F7" i="37" s="1"/>
  <c r="E7" i="37"/>
  <c r="E6" i="37"/>
  <c r="F5" i="37"/>
  <c r="E5" i="37"/>
  <c r="F4" i="37"/>
  <c r="E4" i="37"/>
  <c r="F3" i="37"/>
  <c r="E3" i="37"/>
  <c r="C6" i="37"/>
  <c r="D6" i="44"/>
  <c r="D5" i="44"/>
  <c r="D4" i="44"/>
  <c r="D2" i="44"/>
  <c r="D8" i="42"/>
  <c r="D7" i="42"/>
  <c r="D6" i="42"/>
  <c r="D5" i="42"/>
  <c r="D4" i="42"/>
  <c r="D3" i="42"/>
  <c r="D2" i="42"/>
  <c r="C10" i="47"/>
  <c r="C11" i="47"/>
  <c r="B11" i="47"/>
  <c r="C36" i="30" l="1"/>
  <c r="E34" i="30"/>
  <c r="C29" i="30"/>
  <c r="C30" i="30"/>
  <c r="C31" i="30"/>
  <c r="C32" i="30"/>
  <c r="E32" i="30" s="1"/>
  <c r="C33" i="30"/>
  <c r="E33" i="30" s="1"/>
  <c r="C34" i="30"/>
  <c r="C35" i="30"/>
  <c r="C21" i="30"/>
  <c r="E36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C9" i="27"/>
  <c r="D66" i="30"/>
  <c r="E56" i="30"/>
  <c r="E54" i="30"/>
  <c r="D56" i="30"/>
  <c r="D54" i="30"/>
  <c r="E43" i="30"/>
  <c r="E44" i="30"/>
  <c r="D44" i="30"/>
  <c r="D43" i="30"/>
  <c r="D42" i="30"/>
  <c r="E35" i="30"/>
  <c r="D33" i="30"/>
  <c r="D34" i="30"/>
  <c r="D35" i="30"/>
  <c r="D36" i="30"/>
  <c r="B32" i="30"/>
  <c r="D32" i="30" s="1"/>
  <c r="I50" i="6"/>
  <c r="G50" i="6"/>
  <c r="F50" i="6"/>
  <c r="E50" i="6"/>
  <c r="D50" i="6"/>
  <c r="C50" i="6"/>
  <c r="B50" i="6"/>
  <c r="J38" i="6"/>
  <c r="D28" i="6"/>
  <c r="B28" i="6"/>
  <c r="C20" i="8" l="1"/>
  <c r="F28" i="8"/>
  <c r="F27" i="8"/>
  <c r="F25" i="8"/>
  <c r="F24" i="8"/>
  <c r="F23" i="8"/>
  <c r="F22" i="8"/>
  <c r="F21" i="8"/>
  <c r="F16" i="8"/>
  <c r="F15" i="8"/>
  <c r="G27" i="28"/>
  <c r="G28" i="28"/>
  <c r="G29" i="28"/>
  <c r="G30" i="28"/>
  <c r="F27" i="28"/>
  <c r="F28" i="28"/>
  <c r="F29" i="28"/>
  <c r="F30" i="28"/>
  <c r="G26" i="28"/>
  <c r="G25" i="28"/>
  <c r="F26" i="28"/>
  <c r="F25" i="28"/>
  <c r="G20" i="28"/>
  <c r="G19" i="28"/>
  <c r="G15" i="28"/>
  <c r="F20" i="28"/>
  <c r="F19" i="28"/>
  <c r="G10" i="28"/>
  <c r="G11" i="28"/>
  <c r="G12" i="28"/>
  <c r="G13" i="28"/>
  <c r="G14" i="28"/>
  <c r="G9" i="28"/>
  <c r="F10" i="28"/>
  <c r="F11" i="28"/>
  <c r="F12" i="28"/>
  <c r="F13" i="28"/>
  <c r="F14" i="28"/>
  <c r="F15" i="28"/>
  <c r="F9" i="28"/>
  <c r="B7" i="47"/>
  <c r="E7" i="50"/>
  <c r="B10" i="50"/>
  <c r="I1" i="50" s="1"/>
  <c r="B1" i="50" s="1"/>
  <c r="A13" i="50"/>
  <c r="C13" i="50"/>
  <c r="E13" i="50"/>
  <c r="I13" i="50"/>
  <c r="A14" i="50"/>
  <c r="C14" i="50"/>
  <c r="C17" i="50" s="1"/>
  <c r="E14" i="50"/>
  <c r="E17" i="50" s="1"/>
  <c r="G14" i="50"/>
  <c r="I5" i="50" s="1"/>
  <c r="I14" i="50"/>
  <c r="A15" i="50"/>
  <c r="C15" i="50"/>
  <c r="E15" i="50"/>
  <c r="I15" i="50"/>
  <c r="A16" i="50"/>
  <c r="C16" i="50"/>
  <c r="E16" i="50"/>
  <c r="I16" i="50"/>
  <c r="I17" i="50"/>
  <c r="A21" i="50"/>
  <c r="A22" i="50"/>
  <c r="C22" i="50"/>
  <c r="C5" i="50" s="1"/>
  <c r="I22" i="50"/>
  <c r="G5" i="50" s="1"/>
  <c r="A23" i="50"/>
  <c r="A24" i="50"/>
  <c r="E25" i="50"/>
  <c r="E34" i="50" s="1"/>
  <c r="G25" i="50"/>
  <c r="G34" i="50" s="1"/>
  <c r="A28" i="50"/>
  <c r="A29" i="50"/>
  <c r="C29" i="50"/>
  <c r="I29" i="50" s="1"/>
  <c r="A30" i="50"/>
  <c r="A31" i="50"/>
  <c r="C31" i="50"/>
  <c r="I31" i="50"/>
  <c r="E32" i="50"/>
  <c r="G32" i="50"/>
  <c r="C36" i="50"/>
  <c r="I36" i="50" s="1"/>
  <c r="C20" i="50" s="1"/>
  <c r="A37" i="50"/>
  <c r="I37" i="50"/>
  <c r="G13" i="50" s="1"/>
  <c r="A38" i="50"/>
  <c r="I38" i="50"/>
  <c r="A39" i="50"/>
  <c r="I39" i="50"/>
  <c r="C23" i="50" s="1"/>
  <c r="A40" i="50"/>
  <c r="I40" i="50"/>
  <c r="C24" i="50" s="1"/>
  <c r="C41" i="50"/>
  <c r="E41" i="50"/>
  <c r="G41" i="50"/>
  <c r="A44" i="50"/>
  <c r="I44" i="50"/>
  <c r="I48" i="50" s="1"/>
  <c r="A45" i="50"/>
  <c r="I45" i="50"/>
  <c r="A46" i="50"/>
  <c r="I46" i="50"/>
  <c r="C30" i="50" s="1"/>
  <c r="A47" i="50"/>
  <c r="I47" i="50"/>
  <c r="G16" i="50" s="1"/>
  <c r="I7" i="50" s="1"/>
  <c r="C48" i="50"/>
  <c r="C50" i="50" s="1"/>
  <c r="E48" i="50"/>
  <c r="E50" i="50" s="1"/>
  <c r="G48" i="50"/>
  <c r="G50" i="50" s="1"/>
  <c r="D23" i="8"/>
  <c r="D20" i="8" s="1"/>
  <c r="D27" i="8"/>
  <c r="I20" i="50" l="1"/>
  <c r="I27" i="50" s="1"/>
  <c r="C27" i="50"/>
  <c r="I23" i="50"/>
  <c r="G6" i="50" s="1"/>
  <c r="C6" i="50"/>
  <c r="I24" i="50"/>
  <c r="G7" i="50" s="1"/>
  <c r="C7" i="50"/>
  <c r="G17" i="50"/>
  <c r="I4" i="50"/>
  <c r="I8" i="50" s="1"/>
  <c r="E6" i="50"/>
  <c r="I30" i="50"/>
  <c r="I41" i="50"/>
  <c r="I50" i="50" s="1"/>
  <c r="C28" i="50"/>
  <c r="G15" i="50"/>
  <c r="I6" i="50" s="1"/>
  <c r="C21" i="50"/>
  <c r="E5" i="50"/>
  <c r="C25" i="50" l="1"/>
  <c r="C4" i="50"/>
  <c r="C8" i="50" s="1"/>
  <c r="I21" i="50"/>
  <c r="C32" i="50"/>
  <c r="E4" i="50"/>
  <c r="E8" i="50" s="1"/>
  <c r="I28" i="50"/>
  <c r="I32" i="50" s="1"/>
  <c r="I25" i="50" l="1"/>
  <c r="I34" i="50" s="1"/>
  <c r="G4" i="50"/>
  <c r="G8" i="50" s="1"/>
  <c r="C34" i="50"/>
  <c r="C7" i="27" l="1"/>
  <c r="M36" i="8"/>
  <c r="L21" i="8"/>
  <c r="K24" i="8"/>
  <c r="L14" i="8"/>
  <c r="C14" i="8"/>
  <c r="D12" i="8"/>
  <c r="K14" i="8"/>
  <c r="C12" i="8"/>
  <c r="F12" i="8" s="1"/>
  <c r="D8" i="8"/>
  <c r="D7" i="28"/>
  <c r="C23" i="28"/>
  <c r="C21" i="27"/>
  <c r="C19" i="27" s="1"/>
  <c r="D17" i="28"/>
  <c r="C7" i="28"/>
  <c r="D32" i="8"/>
  <c r="C32" i="8"/>
  <c r="F32" i="8" s="1"/>
  <c r="D30" i="28"/>
  <c r="C30" i="28"/>
  <c r="F13" i="32"/>
  <c r="F12" i="32"/>
  <c r="F11" i="32"/>
  <c r="F10" i="32"/>
  <c r="F9" i="32"/>
  <c r="F8" i="32"/>
  <c r="F7" i="32"/>
  <c r="F6" i="32"/>
  <c r="F5" i="32"/>
  <c r="F4" i="32"/>
  <c r="F3" i="32"/>
  <c r="F2" i="32"/>
  <c r="E13" i="32"/>
  <c r="E12" i="32"/>
  <c r="E11" i="32"/>
  <c r="E10" i="32"/>
  <c r="E9" i="32"/>
  <c r="E8" i="32"/>
  <c r="E7" i="32"/>
  <c r="E6" i="32"/>
  <c r="E5" i="32"/>
  <c r="E4" i="32"/>
  <c r="E3" i="32"/>
  <c r="E2" i="32"/>
  <c r="C7" i="37"/>
  <c r="B7" i="37"/>
  <c r="C4" i="49"/>
  <c r="B4" i="49"/>
  <c r="C3" i="48"/>
  <c r="B3" i="48"/>
  <c r="C18" i="8" l="1"/>
  <c r="C30" i="27"/>
  <c r="C12" i="47"/>
  <c r="B12" i="47"/>
  <c r="C4" i="47"/>
  <c r="B4" i="47"/>
  <c r="C30" i="8" l="1"/>
  <c r="C35" i="8" s="1"/>
  <c r="B26" i="46"/>
  <c r="B13" i="46"/>
  <c r="B20" i="46" s="1"/>
  <c r="B25" i="46" s="1"/>
  <c r="C4" i="40" l="1"/>
  <c r="B4" i="40"/>
  <c r="C4" i="39"/>
  <c r="B4" i="39"/>
  <c r="B45" i="30"/>
  <c r="D45" i="30" s="1"/>
  <c r="B54" i="30"/>
  <c r="C54" i="30"/>
  <c r="B36" i="30"/>
  <c r="C11" i="38" l="1"/>
  <c r="B11" i="38"/>
  <c r="C12" i="45"/>
  <c r="C1" i="45" s="1"/>
  <c r="B12" i="45"/>
  <c r="B1" i="45" s="1"/>
  <c r="C7" i="44"/>
  <c r="B7" i="44"/>
  <c r="C4" i="43"/>
  <c r="B4" i="43"/>
  <c r="C9" i="42"/>
  <c r="B9" i="42"/>
  <c r="C7" i="39" l="1"/>
  <c r="C8" i="39" s="1"/>
  <c r="B7" i="39"/>
  <c r="B8" i="39" s="1"/>
  <c r="E46" i="30"/>
  <c r="B46" i="30"/>
  <c r="D46" i="30" s="1"/>
  <c r="E47" i="30"/>
  <c r="B47" i="30"/>
  <c r="D47" i="30" s="1"/>
  <c r="B27" i="30"/>
  <c r="C56" i="30"/>
  <c r="B56" i="30"/>
  <c r="B55" i="30"/>
  <c r="D55" i="30" s="1"/>
  <c r="E31" i="30"/>
  <c r="B31" i="30"/>
  <c r="D31" i="30" s="1"/>
  <c r="E30" i="30"/>
  <c r="B30" i="30"/>
  <c r="D30" i="30" s="1"/>
  <c r="E29" i="30"/>
  <c r="B29" i="30"/>
  <c r="D29" i="30" s="1"/>
  <c r="E28" i="30"/>
  <c r="B28" i="30"/>
  <c r="D28" i="30" s="1"/>
  <c r="C5" i="38"/>
  <c r="B5" i="38"/>
  <c r="C1" i="37"/>
  <c r="B1" i="37"/>
  <c r="C8" i="36"/>
  <c r="B8" i="36"/>
  <c r="D27" i="30" l="1"/>
  <c r="E27" i="30"/>
  <c r="C14" i="32"/>
  <c r="B14" i="32"/>
  <c r="C6" i="31"/>
  <c r="B6" i="31"/>
  <c r="B60" i="30" l="1"/>
  <c r="C55" i="30"/>
  <c r="C60" i="30" s="1"/>
  <c r="B42" i="30"/>
  <c r="B51" i="30" s="1"/>
  <c r="E42" i="30"/>
  <c r="B21" i="30"/>
  <c r="E45" i="30"/>
  <c r="B35" i="30"/>
  <c r="B34" i="30"/>
  <c r="B33" i="30"/>
  <c r="B65" i="30"/>
  <c r="D65" i="30" s="1"/>
  <c r="C65" i="30"/>
  <c r="B64" i="30" s="1"/>
  <c r="D64" i="30" s="1"/>
  <c r="C64" i="30"/>
  <c r="J46" i="6"/>
  <c r="J45" i="6"/>
  <c r="J44" i="6"/>
  <c r="J43" i="6"/>
  <c r="J41" i="6"/>
  <c r="J40" i="6"/>
  <c r="J39" i="6"/>
  <c r="J36" i="6"/>
  <c r="J35" i="6"/>
  <c r="J34" i="6"/>
  <c r="J33" i="6"/>
  <c r="J32" i="6"/>
  <c r="J31" i="6"/>
  <c r="J24" i="6"/>
  <c r="J23" i="6"/>
  <c r="J22" i="6"/>
  <c r="J21" i="6"/>
  <c r="J19" i="6"/>
  <c r="J18" i="6"/>
  <c r="J17" i="6"/>
  <c r="J16" i="6"/>
  <c r="J14" i="6"/>
  <c r="J13" i="6"/>
  <c r="J12" i="6"/>
  <c r="J11" i="6"/>
  <c r="J10" i="6"/>
  <c r="J9" i="6"/>
  <c r="K26" i="6"/>
  <c r="K48" i="6" s="1"/>
  <c r="I26" i="6"/>
  <c r="G26" i="6"/>
  <c r="F26" i="6"/>
  <c r="E26" i="6"/>
  <c r="D26" i="6"/>
  <c r="C26" i="6"/>
  <c r="B26" i="6"/>
  <c r="D10" i="21"/>
  <c r="C10" i="21"/>
  <c r="B10" i="21"/>
  <c r="E20" i="8"/>
  <c r="E14" i="8"/>
  <c r="D14" i="8"/>
  <c r="E8" i="8"/>
  <c r="C8" i="8"/>
  <c r="E12" i="8"/>
  <c r="E23" i="28"/>
  <c r="D23" i="28"/>
  <c r="D31" i="28" s="1"/>
  <c r="E17" i="28"/>
  <c r="C17" i="28"/>
  <c r="E7" i="28"/>
  <c r="E21" i="27"/>
  <c r="E19" i="27" s="1"/>
  <c r="D21" i="27"/>
  <c r="D19" i="27" s="1"/>
  <c r="E7" i="27"/>
  <c r="D7" i="27"/>
  <c r="C6" i="30"/>
  <c r="B6" i="30"/>
  <c r="D6" i="21"/>
  <c r="C6" i="21"/>
  <c r="B6" i="21"/>
  <c r="E6" i="8"/>
  <c r="D6" i="8"/>
  <c r="C6" i="8"/>
  <c r="E6" i="28"/>
  <c r="D6" i="28"/>
  <c r="C6" i="28"/>
  <c r="A3" i="30"/>
  <c r="A1" i="30"/>
  <c r="A3" i="6"/>
  <c r="A1" i="6"/>
  <c r="A3" i="21"/>
  <c r="A1" i="21"/>
  <c r="A3" i="8"/>
  <c r="A1" i="8"/>
  <c r="A3" i="28"/>
  <c r="A1" i="28"/>
  <c r="D30" i="27" l="1"/>
  <c r="E55" i="30"/>
  <c r="I30" i="6"/>
  <c r="I48" i="6" s="1"/>
  <c r="E30" i="6"/>
  <c r="E48" i="6" s="1"/>
  <c r="G30" i="6"/>
  <c r="G48" i="6" s="1"/>
  <c r="B30" i="6"/>
  <c r="B48" i="6" s="1"/>
  <c r="C30" i="6"/>
  <c r="C48" i="6" s="1"/>
  <c r="F30" i="6"/>
  <c r="F48" i="6" s="1"/>
  <c r="D30" i="6"/>
  <c r="D48" i="6" s="1"/>
  <c r="D18" i="8"/>
  <c r="E18" i="8"/>
  <c r="C51" i="30"/>
  <c r="E31" i="28"/>
  <c r="C31" i="28"/>
  <c r="E30" i="27"/>
  <c r="D30" i="8" l="1"/>
  <c r="E30" i="8"/>
  <c r="E35" i="8" s="1"/>
  <c r="E40" i="8" s="1"/>
  <c r="B9" i="30"/>
  <c r="B24" i="30" s="1"/>
  <c r="C40" i="8"/>
  <c r="H42" i="6" l="1"/>
  <c r="D24" i="30"/>
  <c r="B38" i="30"/>
  <c r="B62" i="30" s="1"/>
  <c r="J42" i="6"/>
  <c r="J50" i="6" s="1"/>
  <c r="H50" i="6"/>
  <c r="D35" i="8"/>
  <c r="D40" i="8" s="1"/>
  <c r="D47" i="8" s="1"/>
  <c r="E44" i="8"/>
  <c r="D8" i="21"/>
  <c r="D13" i="21" s="1"/>
  <c r="B8" i="21"/>
  <c r="B13" i="21" s="1"/>
  <c r="C44" i="8"/>
  <c r="C9" i="30" l="1"/>
  <c r="D44" i="8"/>
  <c r="H20" i="6" s="1"/>
  <c r="C8" i="21"/>
  <c r="C13" i="21" s="1"/>
  <c r="B65" i="12"/>
  <c r="C24" i="30" l="1"/>
  <c r="C38" i="30" s="1"/>
  <c r="C62" i="30" s="1"/>
  <c r="E9" i="30"/>
  <c r="E38" i="30" s="1"/>
  <c r="H26" i="6"/>
  <c r="H30" i="6" s="1"/>
  <c r="H48" i="6" s="1"/>
  <c r="J20" i="6"/>
  <c r="H28" i="6"/>
  <c r="B2" i="12"/>
  <c r="B67" i="12" s="1"/>
  <c r="I46" i="12"/>
  <c r="AO46" i="12" s="1"/>
  <c r="AR46" i="12" s="1"/>
  <c r="AI46" i="12"/>
  <c r="AM46" i="12" s="1"/>
  <c r="AC46" i="12"/>
  <c r="AG46" i="12" s="1"/>
  <c r="F46" i="12"/>
  <c r="X46" i="12" s="1"/>
  <c r="AA46" i="12" s="1"/>
  <c r="AP44" i="12"/>
  <c r="AP43" i="12"/>
  <c r="AP41" i="12"/>
  <c r="AR41" i="12" s="1"/>
  <c r="I41" i="12" s="1"/>
  <c r="AP40" i="12"/>
  <c r="AJ44" i="12"/>
  <c r="AJ43" i="12"/>
  <c r="AJ41" i="12"/>
  <c r="AM41" i="12" s="1"/>
  <c r="H41" i="12" s="1"/>
  <c r="AJ40" i="12"/>
  <c r="AD44" i="12"/>
  <c r="AD43" i="12"/>
  <c r="AD41" i="12"/>
  <c r="AG41" i="12" s="1"/>
  <c r="G41" i="12" s="1"/>
  <c r="AD40" i="12"/>
  <c r="R46" i="12"/>
  <c r="V46" i="12" s="1"/>
  <c r="AQ6" i="12"/>
  <c r="AJ6" i="12"/>
  <c r="AP6" i="12" s="1"/>
  <c r="AO6" i="12"/>
  <c r="Y44" i="12"/>
  <c r="Y43" i="12"/>
  <c r="Y41" i="12"/>
  <c r="AA41" i="12" s="1"/>
  <c r="F41" i="12" s="1"/>
  <c r="Y40" i="12"/>
  <c r="S44" i="12"/>
  <c r="S43" i="12"/>
  <c r="S41" i="12"/>
  <c r="V41" i="12" s="1"/>
  <c r="E41" i="12" s="1"/>
  <c r="S40" i="12"/>
  <c r="M44" i="12"/>
  <c r="M43" i="12"/>
  <c r="M41" i="12"/>
  <c r="P41" i="12" s="1"/>
  <c r="D41" i="12" s="1"/>
  <c r="M40" i="12"/>
  <c r="D74" i="12"/>
  <c r="L46" i="12"/>
  <c r="P46" i="12" s="1"/>
  <c r="S6" i="12"/>
  <c r="Y6" i="12" s="1"/>
  <c r="H74" i="12"/>
  <c r="E74" i="12"/>
  <c r="G74" i="12"/>
  <c r="Z6" i="12"/>
  <c r="X6" i="12"/>
  <c r="B88" i="12"/>
  <c r="B92" i="12"/>
  <c r="B52" i="12"/>
  <c r="B3" i="12"/>
  <c r="J65" i="12"/>
  <c r="J64" i="12"/>
  <c r="B64" i="12"/>
  <c r="J26" i="6" l="1"/>
  <c r="J30" i="6" s="1"/>
  <c r="J48" i="6" s="1"/>
  <c r="J28" i="6"/>
  <c r="L7" i="12"/>
  <c r="H51" i="12"/>
  <c r="I51" i="12"/>
  <c r="AO7" i="12"/>
  <c r="X7" i="12"/>
  <c r="AD21" i="12"/>
  <c r="G76" i="12"/>
  <c r="AC21" i="12"/>
  <c r="AD13" i="12" s="1"/>
  <c r="L21" i="12"/>
  <c r="M13" i="12" s="1"/>
  <c r="AP52" i="12"/>
  <c r="H79" i="12"/>
  <c r="G7" i="12"/>
  <c r="G68" i="12" s="1"/>
  <c r="D7" i="12"/>
  <c r="D68" i="12" s="1"/>
  <c r="F79" i="12"/>
  <c r="AE7" i="12"/>
  <c r="I74" i="12"/>
  <c r="T7" i="12"/>
  <c r="AD50" i="12"/>
  <c r="AG50" i="12" s="1"/>
  <c r="G50" i="12" s="1"/>
  <c r="S52" i="12"/>
  <c r="AD52" i="12"/>
  <c r="AJ52" i="12"/>
  <c r="E7" i="12"/>
  <c r="E68" i="12" s="1"/>
  <c r="H7" i="12"/>
  <c r="H68" i="12" s="1"/>
  <c r="F7" i="12"/>
  <c r="F68" i="12" s="1"/>
  <c r="U7" i="12"/>
  <c r="N7" i="12"/>
  <c r="M52" i="12"/>
  <c r="AQ7" i="12"/>
  <c r="AL7" i="12"/>
  <c r="AJ50" i="12"/>
  <c r="AM50" i="12" s="1"/>
  <c r="H50" i="12" s="1"/>
  <c r="I7" i="12"/>
  <c r="I68" i="12" s="1"/>
  <c r="Z7" i="12"/>
  <c r="O7" i="12"/>
  <c r="AF7" i="12"/>
  <c r="AD53" i="12"/>
  <c r="AG53" i="12" s="1"/>
  <c r="G53" i="12" s="1"/>
  <c r="G79" i="12"/>
  <c r="F74" i="12"/>
  <c r="G51" i="12"/>
  <c r="AK7" i="12"/>
  <c r="Y7" i="12" l="1"/>
  <c r="R21" i="12"/>
  <c r="S13" i="12" s="1"/>
  <c r="AI21" i="12"/>
  <c r="AJ13" i="12" s="1"/>
  <c r="AJ53" i="12"/>
  <c r="AM53" i="12" s="1"/>
  <c r="H53" i="12" s="1"/>
  <c r="I79" i="12"/>
  <c r="G73" i="12"/>
  <c r="AD42" i="12"/>
  <c r="AG42" i="12" s="1"/>
  <c r="G42" i="12" s="1"/>
  <c r="AD7" i="12"/>
  <c r="M7" i="12"/>
  <c r="AC7" i="12"/>
  <c r="AJ7" i="12"/>
  <c r="AD45" i="12"/>
  <c r="AG45" i="12" s="1"/>
  <c r="G45" i="12" s="1"/>
  <c r="G90" i="12"/>
  <c r="AP50" i="12"/>
  <c r="AR50" i="12" s="1"/>
  <c r="I50" i="12" s="1"/>
  <c r="Y52" i="12"/>
  <c r="AC55" i="12"/>
  <c r="L55" i="12"/>
  <c r="G88" i="12"/>
  <c r="R7" i="12"/>
  <c r="G84" i="12"/>
  <c r="E84" i="12"/>
  <c r="H88" i="12"/>
  <c r="AP53" i="12"/>
  <c r="AR53" i="12" s="1"/>
  <c r="I53" i="12" s="1"/>
  <c r="I84" i="12"/>
  <c r="Y53" i="12"/>
  <c r="AA53" i="12" s="1"/>
  <c r="F53" i="12" s="1"/>
  <c r="I88" i="12"/>
  <c r="D84" i="12"/>
  <c r="H84" i="12"/>
  <c r="F84" i="12"/>
  <c r="AI7" i="12"/>
  <c r="S7" i="12"/>
  <c r="AP7" i="12"/>
  <c r="I76" i="12" l="1"/>
  <c r="AP21" i="12"/>
  <c r="H75" i="12"/>
  <c r="AI55" i="12"/>
  <c r="R55" i="12"/>
  <c r="E75" i="12"/>
  <c r="AO21" i="12"/>
  <c r="AP13" i="12" s="1"/>
  <c r="X21" i="12"/>
  <c r="Y13" i="12" s="1"/>
  <c r="AO55" i="12"/>
  <c r="H76" i="12"/>
  <c r="AJ21" i="12"/>
  <c r="AJ42" i="12"/>
  <c r="AM42" i="12" s="1"/>
  <c r="H42" i="12" s="1"/>
  <c r="H73" i="12"/>
  <c r="AP42" i="12"/>
  <c r="AR42" i="12" s="1"/>
  <c r="I42" i="12" s="1"/>
  <c r="I73" i="12"/>
  <c r="M42" i="12"/>
  <c r="P42" i="12" s="1"/>
  <c r="D42" i="12" s="1"/>
  <c r="D73" i="12"/>
  <c r="X55" i="12"/>
  <c r="G75" i="12"/>
  <c r="I75" i="12"/>
  <c r="D75" i="12"/>
  <c r="AQ43" i="12"/>
  <c r="AK43" i="12"/>
  <c r="N52" i="12"/>
  <c r="Z52" i="12"/>
  <c r="AE43" i="12"/>
  <c r="AL52" i="12"/>
  <c r="N43" i="12"/>
  <c r="AF52" i="12"/>
  <c r="Z25" i="12" l="1"/>
  <c r="AQ34" i="12"/>
  <c r="AQ32" i="12"/>
  <c r="U32" i="12"/>
  <c r="AL32" i="12"/>
  <c r="O32" i="12"/>
  <c r="N10" i="12"/>
  <c r="O10" i="12"/>
  <c r="AE10" i="12"/>
  <c r="AQ10" i="12"/>
  <c r="T10" i="12"/>
  <c r="F75" i="12"/>
  <c r="E73" i="12"/>
  <c r="S42" i="12"/>
  <c r="V42" i="12" s="1"/>
  <c r="E42" i="12" s="1"/>
  <c r="Y42" i="12"/>
  <c r="AA42" i="12" s="1"/>
  <c r="F42" i="12" s="1"/>
  <c r="F73" i="12"/>
  <c r="N34" i="12"/>
  <c r="AK34" i="12"/>
  <c r="AL34" i="12"/>
  <c r="AL31" i="12"/>
  <c r="U31" i="12"/>
  <c r="Z31" i="12"/>
  <c r="Z24" i="12"/>
  <c r="AE12" i="12"/>
  <c r="D86" i="12"/>
  <c r="G86" i="12"/>
  <c r="I86" i="12"/>
  <c r="H86" i="12"/>
  <c r="AF10" i="12"/>
  <c r="Z10" i="12"/>
  <c r="AE24" i="12"/>
  <c r="AK12" i="12"/>
  <c r="U52" i="12"/>
  <c r="N32" i="12"/>
  <c r="O52" i="12"/>
  <c r="U12" i="12"/>
  <c r="AF43" i="12"/>
  <c r="AK10" i="12"/>
  <c r="N12" i="12"/>
  <c r="AK40" i="12"/>
  <c r="Z32" i="12"/>
  <c r="O43" i="12"/>
  <c r="T24" i="12"/>
  <c r="AF31" i="12"/>
  <c r="N31" i="12"/>
  <c r="U43" i="12"/>
  <c r="AK31" i="12"/>
  <c r="O15" i="12"/>
  <c r="AF32" i="12"/>
  <c r="O31" i="12"/>
  <c r="AE52" i="12"/>
  <c r="Z43" i="12"/>
  <c r="AF16" i="12"/>
  <c r="AE16" i="12"/>
  <c r="AE40" i="12"/>
  <c r="U15" i="12"/>
  <c r="AF12" i="12"/>
  <c r="AQ40" i="12"/>
  <c r="Z12" i="12"/>
  <c r="O14" i="12"/>
  <c r="AE35" i="12"/>
  <c r="AL43" i="12"/>
  <c r="AK52" i="12"/>
  <c r="O24" i="12"/>
  <c r="AL10" i="12"/>
  <c r="O16" i="12"/>
  <c r="AQ24" i="12"/>
  <c r="U24" i="12"/>
  <c r="AQ31" i="12"/>
  <c r="N24" i="12"/>
  <c r="Z16" i="12"/>
  <c r="N14" i="12"/>
  <c r="AQ12" i="12"/>
  <c r="AL14" i="12"/>
  <c r="N35" i="12"/>
  <c r="AF14" i="12"/>
  <c r="AF40" i="12"/>
  <c r="AL40" i="12"/>
  <c r="AE32" i="12"/>
  <c r="AK24" i="12"/>
  <c r="AK16" i="12"/>
  <c r="AL24" i="12"/>
  <c r="U35" i="12"/>
  <c r="AL16" i="12"/>
  <c r="AL35" i="12"/>
  <c r="Z15" i="12"/>
  <c r="AE14" i="12"/>
  <c r="N15" i="12"/>
  <c r="AF24" i="12"/>
  <c r="Z14" i="12"/>
  <c r="U14" i="12"/>
  <c r="O35" i="12"/>
  <c r="O12" i="12"/>
  <c r="AK14" i="12"/>
  <c r="AE31" i="12"/>
  <c r="AQ14" i="12"/>
  <c r="AL12" i="12"/>
  <c r="AK15" i="12"/>
  <c r="AK32" i="12"/>
  <c r="AF35" i="12"/>
  <c r="Z35" i="12"/>
  <c r="AE15" i="12"/>
  <c r="AQ15" i="12"/>
  <c r="U10" i="12"/>
  <c r="AF15" i="12"/>
  <c r="AQ35" i="12"/>
  <c r="U16" i="12"/>
  <c r="AQ16" i="12"/>
  <c r="N16" i="12"/>
  <c r="Z40" i="12"/>
  <c r="AL15" i="12"/>
  <c r="AQ52" i="12"/>
  <c r="AK35" i="12"/>
  <c r="O25" i="12" l="1"/>
  <c r="AF34" i="12"/>
  <c r="AR32" i="12"/>
  <c r="I32" i="12" s="1"/>
  <c r="AK25" i="12"/>
  <c r="P32" i="12"/>
  <c r="D32" i="12" s="1"/>
  <c r="AQ33" i="12"/>
  <c r="AL25" i="12"/>
  <c r="AF22" i="12"/>
  <c r="AQ23" i="12"/>
  <c r="AQ21" i="12"/>
  <c r="Z23" i="12"/>
  <c r="AE23" i="12"/>
  <c r="T23" i="12"/>
  <c r="U23" i="12"/>
  <c r="N23" i="12"/>
  <c r="AF23" i="12"/>
  <c r="AL23" i="12"/>
  <c r="AK23" i="12"/>
  <c r="O23" i="12"/>
  <c r="U34" i="12"/>
  <c r="AE34" i="12"/>
  <c r="O34" i="12"/>
  <c r="P34" i="12" s="1"/>
  <c r="D34" i="12" s="1"/>
  <c r="Z34" i="12"/>
  <c r="AM31" i="12"/>
  <c r="H31" i="12" s="1"/>
  <c r="N29" i="12"/>
  <c r="N22" i="12"/>
  <c r="T22" i="12"/>
  <c r="AL33" i="12"/>
  <c r="AE26" i="12"/>
  <c r="Z33" i="12"/>
  <c r="AE22" i="12"/>
  <c r="U26" i="12"/>
  <c r="N33" i="12"/>
  <c r="AK26" i="12"/>
  <c r="AE29" i="12"/>
  <c r="O33" i="12"/>
  <c r="AK33" i="12"/>
  <c r="U33" i="12"/>
  <c r="AE33" i="12"/>
  <c r="AF33" i="12"/>
  <c r="AL30" i="12"/>
  <c r="O30" i="12"/>
  <c r="AQ30" i="12"/>
  <c r="AM34" i="12"/>
  <c r="H34" i="12" s="1"/>
  <c r="P31" i="12"/>
  <c r="D31" i="12" s="1"/>
  <c r="AK21" i="12"/>
  <c r="AL29" i="12"/>
  <c r="Z29" i="12"/>
  <c r="U21" i="12"/>
  <c r="P40" i="12"/>
  <c r="D40" i="12" s="1"/>
  <c r="AE21" i="12"/>
  <c r="AL21" i="12"/>
  <c r="AF21" i="12"/>
  <c r="O21" i="12"/>
  <c r="Z21" i="12"/>
  <c r="T21" i="12"/>
  <c r="N21" i="12"/>
  <c r="AG31" i="12"/>
  <c r="G31" i="12" s="1"/>
  <c r="AG32" i="12"/>
  <c r="G32" i="12" s="1"/>
  <c r="AM40" i="12"/>
  <c r="H40" i="12" s="1"/>
  <c r="AR40" i="12"/>
  <c r="I40" i="12" s="1"/>
  <c r="U29" i="12"/>
  <c r="O29" i="12"/>
  <c r="AR31" i="12"/>
  <c r="I31" i="12" s="1"/>
  <c r="O26" i="12"/>
  <c r="Z26" i="12"/>
  <c r="AK29" i="12"/>
  <c r="AG35" i="12"/>
  <c r="G35" i="12" s="1"/>
  <c r="AG40" i="12"/>
  <c r="G40" i="12" s="1"/>
  <c r="P35" i="12"/>
  <c r="D35" i="12" s="1"/>
  <c r="AE30" i="12"/>
  <c r="Z22" i="12"/>
  <c r="AK30" i="12"/>
  <c r="AQ22" i="12"/>
  <c r="AF26" i="12"/>
  <c r="AF29" i="12"/>
  <c r="AL22" i="12"/>
  <c r="AK22" i="12"/>
  <c r="Z30" i="12"/>
  <c r="AQ26" i="12"/>
  <c r="U22" i="12"/>
  <c r="AF30" i="12"/>
  <c r="AL26" i="12"/>
  <c r="AQ29" i="12"/>
  <c r="N26" i="12"/>
  <c r="O22" i="12"/>
  <c r="T26" i="12"/>
  <c r="AR34" i="12"/>
  <c r="I34" i="12" s="1"/>
  <c r="AR35" i="12"/>
  <c r="I35" i="12" s="1"/>
  <c r="U30" i="12"/>
  <c r="AM32" i="12"/>
  <c r="H32" i="12" s="1"/>
  <c r="N30" i="12"/>
  <c r="AM35" i="12"/>
  <c r="H35" i="12" s="1"/>
  <c r="AG34" i="12" l="1"/>
  <c r="G34" i="12" s="1"/>
  <c r="AM25" i="12"/>
  <c r="H25" i="12" s="1"/>
  <c r="H83" i="12"/>
  <c r="D83" i="12"/>
  <c r="AG22" i="12"/>
  <c r="G22" i="12" s="1"/>
  <c r="N25" i="12"/>
  <c r="P25" i="12" s="1"/>
  <c r="D25" i="12" s="1"/>
  <c r="U25" i="12"/>
  <c r="AE25" i="12"/>
  <c r="AQ25" i="12"/>
  <c r="AR25" i="12" s="1"/>
  <c r="I25" i="12" s="1"/>
  <c r="AF25" i="12"/>
  <c r="I83" i="12"/>
  <c r="G60" i="12"/>
  <c r="H59" i="12" s="1"/>
  <c r="H85" i="12"/>
  <c r="G85" i="12"/>
  <c r="G83" i="12"/>
  <c r="I85" i="12"/>
  <c r="D60" i="12"/>
  <c r="E59" i="12" s="1"/>
  <c r="G59" i="12"/>
  <c r="I59" i="12" s="1"/>
  <c r="H60" i="12"/>
  <c r="I60" i="12" s="1"/>
  <c r="E60" i="12"/>
  <c r="F60" i="12" s="1"/>
  <c r="D59" i="12"/>
  <c r="F59" i="12" s="1"/>
  <c r="AA23" i="12"/>
  <c r="F23" i="12" s="1"/>
  <c r="AG23" i="12"/>
  <c r="G23" i="12" s="1"/>
  <c r="V23" i="12"/>
  <c r="E23" i="12" s="1"/>
  <c r="P23" i="12"/>
  <c r="D23" i="12" s="1"/>
  <c r="AM23" i="12"/>
  <c r="H23" i="12" s="1"/>
  <c r="AR23" i="12"/>
  <c r="I23" i="12" s="1"/>
  <c r="AG29" i="12"/>
  <c r="G29" i="12" s="1"/>
  <c r="P22" i="12"/>
  <c r="D22" i="12" s="1"/>
  <c r="AM26" i="12"/>
  <c r="H26" i="12" s="1"/>
  <c r="AG26" i="12"/>
  <c r="G26" i="12" s="1"/>
  <c r="P29" i="12"/>
  <c r="D29" i="12" s="1"/>
  <c r="AR26" i="12"/>
  <c r="I26" i="12" s="1"/>
  <c r="V22" i="12"/>
  <c r="E22" i="12" s="1"/>
  <c r="AA22" i="12"/>
  <c r="F22" i="12" s="1"/>
  <c r="AM30" i="12"/>
  <c r="H30" i="12" s="1"/>
  <c r="P30" i="12"/>
  <c r="D30" i="12" s="1"/>
  <c r="AM29" i="12"/>
  <c r="H29" i="12" s="1"/>
  <c r="AM21" i="12"/>
  <c r="H21" i="12" s="1"/>
  <c r="M21" i="12"/>
  <c r="P21" i="12" s="1"/>
  <c r="D21" i="12" s="1"/>
  <c r="D76" i="12"/>
  <c r="AG30" i="12"/>
  <c r="G30" i="12" s="1"/>
  <c r="P26" i="12"/>
  <c r="D26" i="12" s="1"/>
  <c r="AA26" i="12"/>
  <c r="F26" i="12" s="1"/>
  <c r="AR29" i="12"/>
  <c r="I29" i="12" s="1"/>
  <c r="AG21" i="12"/>
  <c r="G21" i="12" s="1"/>
  <c r="AR30" i="12"/>
  <c r="I30" i="12" s="1"/>
  <c r="AM22" i="12"/>
  <c r="H22" i="12" s="1"/>
  <c r="AR22" i="12"/>
  <c r="I22" i="12" s="1"/>
  <c r="AR21" i="12"/>
  <c r="I21" i="12" s="1"/>
  <c r="V26" i="12"/>
  <c r="E26" i="12" s="1"/>
  <c r="AG25" i="12" l="1"/>
  <c r="G25" i="12" s="1"/>
  <c r="H57" i="12"/>
  <c r="E57" i="12"/>
  <c r="G57" i="12"/>
  <c r="I57" i="12"/>
  <c r="F57" i="12"/>
  <c r="D57" i="12"/>
  <c r="AC15" i="12" l="1"/>
  <c r="AG15" i="12" s="1"/>
  <c r="G15" i="12" s="1"/>
  <c r="AC10" i="12"/>
  <c r="AG10" i="12" s="1"/>
  <c r="G10" i="12" s="1"/>
  <c r="AC52" i="12"/>
  <c r="AG52" i="12" s="1"/>
  <c r="G52" i="12" s="1"/>
  <c r="G54" i="12" s="1"/>
  <c r="L33" i="12"/>
  <c r="P33" i="12" s="1"/>
  <c r="D33" i="12" s="1"/>
  <c r="L11" i="12"/>
  <c r="P11" i="12" s="1"/>
  <c r="D11" i="12" s="1"/>
  <c r="L13" i="12"/>
  <c r="P13" i="12" s="1"/>
  <c r="D13" i="12" s="1"/>
  <c r="L15" i="12"/>
  <c r="P15" i="12" s="1"/>
  <c r="D15" i="12" s="1"/>
  <c r="L10" i="12"/>
  <c r="P10" i="12" s="1"/>
  <c r="D10" i="12" s="1"/>
  <c r="L24" i="12"/>
  <c r="P24" i="12" s="1"/>
  <c r="D24" i="12" s="1"/>
  <c r="L14" i="12"/>
  <c r="P14" i="12" s="1"/>
  <c r="D14" i="12" s="1"/>
  <c r="L12" i="12"/>
  <c r="P12" i="12" s="1"/>
  <c r="D12" i="12" s="1"/>
  <c r="T43" i="12"/>
  <c r="T12" i="12"/>
  <c r="T52" i="12"/>
  <c r="AC12" i="12" l="1"/>
  <c r="AG12" i="12" s="1"/>
  <c r="G12" i="12" s="1"/>
  <c r="AC14" i="12"/>
  <c r="AG14" i="12" s="1"/>
  <c r="G14" i="12" s="1"/>
  <c r="AC24" i="12"/>
  <c r="AG24" i="12" s="1"/>
  <c r="G24" i="12" s="1"/>
  <c r="AC13" i="12"/>
  <c r="AG13" i="12" s="1"/>
  <c r="G13" i="12" s="1"/>
  <c r="AI52" i="12"/>
  <c r="AM52" i="12" s="1"/>
  <c r="H52" i="12" s="1"/>
  <c r="H54" i="12" s="1"/>
  <c r="AI15" i="12"/>
  <c r="AM15" i="12" s="1"/>
  <c r="H15" i="12" s="1"/>
  <c r="T34" i="12"/>
  <c r="AO13" i="12"/>
  <c r="AR13" i="12" s="1"/>
  <c r="AO12" i="12"/>
  <c r="AR12" i="12" s="1"/>
  <c r="I12" i="12" s="1"/>
  <c r="AI10" i="12"/>
  <c r="AM10" i="12" s="1"/>
  <c r="H10" i="12" s="1"/>
  <c r="AO24" i="12"/>
  <c r="AR24" i="12" s="1"/>
  <c r="I24" i="12" s="1"/>
  <c r="AC33" i="12"/>
  <c r="AG33" i="12" s="1"/>
  <c r="G33" i="12" s="1"/>
  <c r="T32" i="12"/>
  <c r="AA32" i="12" s="1"/>
  <c r="F32" i="12" s="1"/>
  <c r="E83" i="12"/>
  <c r="F83" i="12"/>
  <c r="E86" i="12"/>
  <c r="F86" i="12"/>
  <c r="AO14" i="12"/>
  <c r="AR14" i="12" s="1"/>
  <c r="I14" i="12" s="1"/>
  <c r="AO52" i="12"/>
  <c r="AR52" i="12" s="1"/>
  <c r="I52" i="12" s="1"/>
  <c r="I54" i="12" s="1"/>
  <c r="L52" i="12"/>
  <c r="P52" i="12" s="1"/>
  <c r="D52" i="12" s="1"/>
  <c r="T35" i="12"/>
  <c r="AA35" i="12" s="1"/>
  <c r="F35" i="12" s="1"/>
  <c r="T33" i="12"/>
  <c r="T14" i="12"/>
  <c r="T25" i="12"/>
  <c r="T16" i="12"/>
  <c r="T31" i="12"/>
  <c r="V40" i="12"/>
  <c r="E40" i="12" s="1"/>
  <c r="AA40" i="12"/>
  <c r="F40" i="12" s="1"/>
  <c r="T15" i="12"/>
  <c r="R12" i="12" l="1"/>
  <c r="V12" i="12" s="1"/>
  <c r="E12" i="12" s="1"/>
  <c r="AI12" i="12"/>
  <c r="AM12" i="12" s="1"/>
  <c r="H12" i="12" s="1"/>
  <c r="L16" i="12"/>
  <c r="P16" i="12" s="1"/>
  <c r="D16" i="12" s="1"/>
  <c r="AC16" i="12"/>
  <c r="AG16" i="12" s="1"/>
  <c r="G16" i="12" s="1"/>
  <c r="AO15" i="12"/>
  <c r="AR15" i="12" s="1"/>
  <c r="I15" i="12" s="1"/>
  <c r="AO33" i="12"/>
  <c r="AR33" i="12" s="1"/>
  <c r="I33" i="12" s="1"/>
  <c r="AI33" i="12"/>
  <c r="AM33" i="12" s="1"/>
  <c r="H33" i="12" s="1"/>
  <c r="AI14" i="12"/>
  <c r="AM14" i="12" s="1"/>
  <c r="H14" i="12" s="1"/>
  <c r="AO10" i="12"/>
  <c r="AR10" i="12" s="1"/>
  <c r="I10" i="12" s="1"/>
  <c r="AI13" i="12"/>
  <c r="AM13" i="12" s="1"/>
  <c r="H13" i="12" s="1"/>
  <c r="AO11" i="12"/>
  <c r="AI24" i="12"/>
  <c r="AM24" i="12" s="1"/>
  <c r="H24" i="12" s="1"/>
  <c r="R52" i="12"/>
  <c r="V52" i="12" s="1"/>
  <c r="E52" i="12" s="1"/>
  <c r="R10" i="12"/>
  <c r="V10" i="12" s="1"/>
  <c r="E10" i="12" s="1"/>
  <c r="V32" i="12"/>
  <c r="E32" i="12" s="1"/>
  <c r="L43" i="12"/>
  <c r="P43" i="12" s="1"/>
  <c r="D43" i="12" s="1"/>
  <c r="I13" i="12"/>
  <c r="F85" i="12"/>
  <c r="E85" i="12"/>
  <c r="AI43" i="12"/>
  <c r="AM43" i="12" s="1"/>
  <c r="H43" i="12" s="1"/>
  <c r="V35" i="12"/>
  <c r="E35" i="12" s="1"/>
  <c r="X24" i="12"/>
  <c r="AA24" i="12" s="1"/>
  <c r="F24" i="12" s="1"/>
  <c r="X44" i="12"/>
  <c r="AA44" i="12" s="1"/>
  <c r="F44" i="12" s="1"/>
  <c r="AO17" i="12"/>
  <c r="AR17" i="12" s="1"/>
  <c r="I17" i="12" s="1"/>
  <c r="AC43" i="12"/>
  <c r="AG43" i="12" s="1"/>
  <c r="G43" i="12" s="1"/>
  <c r="AO44" i="12"/>
  <c r="AR44" i="12" s="1"/>
  <c r="I44" i="12" s="1"/>
  <c r="R44" i="12"/>
  <c r="V44" i="12" s="1"/>
  <c r="E44" i="12" s="1"/>
  <c r="T29" i="12"/>
  <c r="V34" i="12"/>
  <c r="E34" i="12" s="1"/>
  <c r="AA34" i="12"/>
  <c r="F34" i="12" s="1"/>
  <c r="AA31" i="12"/>
  <c r="F31" i="12" s="1"/>
  <c r="V31" i="12"/>
  <c r="E31" i="12" s="1"/>
  <c r="AC11" i="12"/>
  <c r="T30" i="12"/>
  <c r="D72" i="12"/>
  <c r="V25" i="12"/>
  <c r="E25" i="12" s="1"/>
  <c r="AA25" i="12"/>
  <c r="F25" i="12" s="1"/>
  <c r="AI17" i="12"/>
  <c r="L17" i="12"/>
  <c r="X43" i="12"/>
  <c r="AA43" i="12" s="1"/>
  <c r="F43" i="12" s="1"/>
  <c r="AI44" i="12"/>
  <c r="AM44" i="12" s="1"/>
  <c r="H44" i="12" s="1"/>
  <c r="L44" i="12"/>
  <c r="P44" i="12" s="1"/>
  <c r="D44" i="12" s="1"/>
  <c r="AC17" i="12"/>
  <c r="AG17" i="12" s="1"/>
  <c r="G17" i="12" s="1"/>
  <c r="AO43" i="12"/>
  <c r="AR43" i="12" s="1"/>
  <c r="I43" i="12" s="1"/>
  <c r="R43" i="12"/>
  <c r="V43" i="12" s="1"/>
  <c r="E43" i="12" s="1"/>
  <c r="AC44" i="12"/>
  <c r="AG44" i="12" s="1"/>
  <c r="G44" i="12" s="1"/>
  <c r="AO16" i="12" l="1"/>
  <c r="AR16" i="12" s="1"/>
  <c r="I16" i="12" s="1"/>
  <c r="D71" i="12"/>
  <c r="X52" i="12"/>
  <c r="AA52" i="12" s="1"/>
  <c r="F52" i="12" s="1"/>
  <c r="R24" i="12"/>
  <c r="V24" i="12" s="1"/>
  <c r="E24" i="12" s="1"/>
  <c r="X33" i="12"/>
  <c r="AA33" i="12" s="1"/>
  <c r="F33" i="12" s="1"/>
  <c r="X12" i="12"/>
  <c r="AA12" i="12" s="1"/>
  <c r="F12" i="12" s="1"/>
  <c r="X17" i="12"/>
  <c r="AA17" i="12" s="1"/>
  <c r="F17" i="12" s="1"/>
  <c r="R13" i="12"/>
  <c r="V13" i="12" s="1"/>
  <c r="E13" i="12" s="1"/>
  <c r="R11" i="12"/>
  <c r="V11" i="12" s="1"/>
  <c r="E11" i="12" s="1"/>
  <c r="R17" i="12"/>
  <c r="V17" i="12" s="1"/>
  <c r="E17" i="12" s="1"/>
  <c r="X15" i="12"/>
  <c r="AA15" i="12" s="1"/>
  <c r="F15" i="12" s="1"/>
  <c r="R15" i="12"/>
  <c r="V15" i="12" s="1"/>
  <c r="E15" i="12" s="1"/>
  <c r="X14" i="12"/>
  <c r="AA14" i="12" s="1"/>
  <c r="F14" i="12" s="1"/>
  <c r="X13" i="12"/>
  <c r="AA13" i="12" s="1"/>
  <c r="F13" i="12" s="1"/>
  <c r="P17" i="12"/>
  <c r="D17" i="12" s="1"/>
  <c r="D18" i="12" s="1"/>
  <c r="D37" i="12" s="1"/>
  <c r="L54" i="12"/>
  <c r="L56" i="12" s="1"/>
  <c r="L57" i="12" s="1"/>
  <c r="G72" i="12"/>
  <c r="AG11" i="12"/>
  <c r="G11" i="12" s="1"/>
  <c r="G18" i="12" s="1"/>
  <c r="G37" i="12" s="1"/>
  <c r="AC54" i="12"/>
  <c r="AC56" i="12" s="1"/>
  <c r="AR11" i="12"/>
  <c r="I11" i="12" s="1"/>
  <c r="G47" i="12"/>
  <c r="AM17" i="12"/>
  <c r="H17" i="12" s="1"/>
  <c r="X10" i="12"/>
  <c r="V30" i="12"/>
  <c r="E30" i="12" s="1"/>
  <c r="AA30" i="12"/>
  <c r="F30" i="12" s="1"/>
  <c r="AA29" i="12"/>
  <c r="F29" i="12" s="1"/>
  <c r="V29" i="12"/>
  <c r="E29" i="12" s="1"/>
  <c r="X11" i="12"/>
  <c r="AA11" i="12" s="1"/>
  <c r="F11" i="12" s="1"/>
  <c r="I18" i="12" l="1"/>
  <c r="I37" i="12" s="1"/>
  <c r="AO54" i="12"/>
  <c r="AO56" i="12" s="1"/>
  <c r="AO57" i="12" s="1"/>
  <c r="AP45" i="12"/>
  <c r="AR45" i="12" s="1"/>
  <c r="I45" i="12" s="1"/>
  <c r="I47" i="12" s="1"/>
  <c r="AI16" i="12"/>
  <c r="AM16" i="12" s="1"/>
  <c r="H16" i="12" s="1"/>
  <c r="AI11" i="12"/>
  <c r="X16" i="12"/>
  <c r="AA16" i="12" s="1"/>
  <c r="F16" i="12" s="1"/>
  <c r="R16" i="12"/>
  <c r="V16" i="12" s="1"/>
  <c r="E16" i="12" s="1"/>
  <c r="R33" i="12"/>
  <c r="V33" i="12" s="1"/>
  <c r="E33" i="12" s="1"/>
  <c r="R14" i="12"/>
  <c r="AC57" i="12"/>
  <c r="E76" i="12"/>
  <c r="S21" i="12"/>
  <c r="V21" i="12" s="1"/>
  <c r="E21" i="12" s="1"/>
  <c r="Y21" i="12"/>
  <c r="AA21" i="12" s="1"/>
  <c r="F21" i="12" s="1"/>
  <c r="G71" i="12"/>
  <c r="AA10" i="12"/>
  <c r="F10" i="12" s="1"/>
  <c r="G66" i="12"/>
  <c r="I71" i="12"/>
  <c r="I66" i="12" l="1"/>
  <c r="AJ45" i="12"/>
  <c r="AM45" i="12" s="1"/>
  <c r="H45" i="12" s="1"/>
  <c r="H47" i="12" s="1"/>
  <c r="I90" i="12"/>
  <c r="H90" i="12"/>
  <c r="H71" i="12"/>
  <c r="AM11" i="12"/>
  <c r="H11" i="12" s="1"/>
  <c r="H18" i="12" s="1"/>
  <c r="H37" i="12" s="1"/>
  <c r="AI54" i="12"/>
  <c r="AI56" i="12" s="1"/>
  <c r="AI57" i="12" s="1"/>
  <c r="F18" i="12"/>
  <c r="F37" i="12" s="1"/>
  <c r="X54" i="12"/>
  <c r="X56" i="12" s="1"/>
  <c r="X57" i="12" s="1"/>
  <c r="V14" i="12"/>
  <c r="E14" i="12" s="1"/>
  <c r="E18" i="12" s="1"/>
  <c r="E37" i="12" s="1"/>
  <c r="R54" i="12"/>
  <c r="R56" i="12" s="1"/>
  <c r="F76" i="12"/>
  <c r="F71" i="12"/>
  <c r="H66" i="12" l="1"/>
  <c r="R57" i="12"/>
  <c r="E71" i="12"/>
  <c r="I81" i="12" l="1"/>
  <c r="H81" i="12"/>
  <c r="G81" i="12"/>
  <c r="E81" i="12" l="1"/>
  <c r="F81" i="12"/>
  <c r="E72" i="12" l="1"/>
  <c r="F72" i="12" l="1"/>
  <c r="I72" i="12" l="1"/>
  <c r="H72" i="12"/>
  <c r="D78" i="12" l="1"/>
  <c r="G78" i="12"/>
  <c r="G70" i="12" s="1"/>
  <c r="H78" i="12" l="1"/>
  <c r="H70" i="12" s="1"/>
  <c r="I78" i="12"/>
  <c r="I70" i="12" s="1"/>
  <c r="D77" i="12"/>
  <c r="D85" i="12" l="1"/>
  <c r="D81" i="12" s="1"/>
  <c r="E78" i="12" l="1"/>
  <c r="F78" i="12"/>
  <c r="F70" i="12" s="1"/>
  <c r="M51" i="12" l="1"/>
  <c r="D89" i="12"/>
  <c r="AD51" i="12" l="1"/>
  <c r="G89" i="12"/>
  <c r="G92" i="12" s="1"/>
  <c r="G94" i="12" s="1"/>
  <c r="I89" i="12" l="1"/>
  <c r="I92" i="12" s="1"/>
  <c r="I94" i="12" s="1"/>
  <c r="AP51" i="12"/>
  <c r="H89" i="12" l="1"/>
  <c r="H92" i="12" s="1"/>
  <c r="H94" i="12" s="1"/>
  <c r="AJ51" i="12"/>
  <c r="F89" i="12" l="1"/>
  <c r="Y51" i="12"/>
  <c r="S51" i="12" l="1"/>
  <c r="E89" i="12"/>
  <c r="M45" i="12" l="1"/>
  <c r="P45" i="12" s="1"/>
  <c r="D45" i="12" s="1"/>
  <c r="D47" i="12" s="1"/>
  <c r="D90" i="12"/>
  <c r="D51" i="12"/>
  <c r="M50" i="12" l="1"/>
  <c r="P50" i="12" s="1"/>
  <c r="D50" i="12" s="1"/>
  <c r="D54" i="12" s="1"/>
  <c r="D66" i="12" s="1"/>
  <c r="D88" i="12"/>
  <c r="M53" i="12" l="1"/>
  <c r="P53" i="12" s="1"/>
  <c r="D53" i="12" s="1"/>
  <c r="D79" i="12"/>
  <c r="D70" i="12" s="1"/>
  <c r="D92" i="12" s="1"/>
  <c r="D94" i="12" s="1"/>
  <c r="E79" i="12" l="1"/>
  <c r="E70" i="12" s="1"/>
  <c r="S53" i="12"/>
  <c r="V53" i="12" s="1"/>
  <c r="E53" i="12" s="1"/>
  <c r="J4" i="12" l="1"/>
  <c r="E51" i="12" l="1"/>
  <c r="F51" i="12" l="1"/>
  <c r="Y50" i="12"/>
  <c r="AA50" i="12" s="1"/>
  <c r="F50" i="12" s="1"/>
  <c r="F54" i="12" s="1"/>
  <c r="F88" i="12"/>
  <c r="S50" i="12" l="1"/>
  <c r="V50" i="12" s="1"/>
  <c r="E50" i="12" s="1"/>
  <c r="E54" i="12" s="1"/>
  <c r="E88" i="12"/>
  <c r="Y45" i="12" l="1"/>
  <c r="AA45" i="12" s="1"/>
  <c r="F45" i="12" s="1"/>
  <c r="F47" i="12" s="1"/>
  <c r="F66" i="12" s="1"/>
  <c r="F90" i="12"/>
  <c r="F92" i="12" s="1"/>
  <c r="F94" i="12" s="1"/>
  <c r="E90" i="12" l="1"/>
  <c r="E92" i="12" s="1"/>
  <c r="E94" i="12" s="1"/>
  <c r="S45" i="12"/>
  <c r="V45" i="12" s="1"/>
  <c r="E45" i="12" s="1"/>
  <c r="E47" i="12" s="1"/>
  <c r="E6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Ismael Nicomedio</author>
  </authors>
  <commentList>
    <comment ref="A10" authorId="0" shapeId="0" xr:uid="{996B2D78-F092-479F-A515-E9558FBF1041}">
      <text>
        <r>
          <rPr>
            <b/>
            <sz val="9"/>
            <color indexed="81"/>
            <rFont val="Segoe UI"/>
            <family val="2"/>
          </rPr>
          <t>Ismael Nicomedio:</t>
        </r>
        <r>
          <rPr>
            <sz val="9"/>
            <color indexed="81"/>
            <rFont val="Segoe UI"/>
            <family val="2"/>
          </rPr>
          <t xml:space="preserve">
Ecluir linhas vazias 
</t>
        </r>
      </text>
    </comment>
    <comment ref="C14" authorId="0" shapeId="0" xr:uid="{500607E2-F200-4ACE-BE7B-BEE7FF19B9AC}">
      <text>
        <r>
          <rPr>
            <b/>
            <sz val="9"/>
            <color indexed="81"/>
            <rFont val="Segoe UI"/>
            <family val="2"/>
          </rPr>
          <t>Ismael Nicomedio:</t>
        </r>
        <r>
          <rPr>
            <sz val="9"/>
            <color indexed="81"/>
            <rFont val="Segoe UI"/>
            <family val="2"/>
          </rPr>
          <t xml:space="preserve">
tratar em uma única linha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Ismael Nicomedio</author>
  </authors>
  <commentList>
    <comment ref="C28" authorId="0" shapeId="0" xr:uid="{9BB30F50-9AB0-4E7A-AA9C-25859560F4CE}">
      <text>
        <r>
          <rPr>
            <b/>
            <sz val="9"/>
            <color indexed="81"/>
            <rFont val="Segoe UI"/>
            <family val="2"/>
          </rPr>
          <t>Ismael Nicomedio:</t>
        </r>
        <r>
          <rPr>
            <sz val="9"/>
            <color indexed="81"/>
            <rFont val="Segoe UI"/>
            <family val="2"/>
          </rPr>
          <t xml:space="preserve">
Demonstrar em apenas uma linha os prejuízos acumulados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Ismael Nicomedio</author>
  </authors>
  <commentList>
    <comment ref="A46" authorId="0" shapeId="0" xr:uid="{155ECC2E-5D01-4E5A-95FE-4A3E0319A1B5}">
      <text>
        <r>
          <rPr>
            <b/>
            <sz val="9"/>
            <color indexed="81"/>
            <rFont val="Segoe UI"/>
            <family val="2"/>
          </rPr>
          <t>Ismael Nicomedio:</t>
        </r>
        <r>
          <rPr>
            <sz val="9"/>
            <color indexed="81"/>
            <rFont val="Segoe UI"/>
            <family val="2"/>
          </rPr>
          <t xml:space="preserve">
completar os valores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Arthur Rodrigues</author>
  </authors>
  <commentList>
    <comment ref="D7" authorId="0" shapeId="0" xr:uid="{BD63A22E-E1E4-4746-BB24-26479C4F6DBC}">
      <text>
        <r>
          <rPr>
            <b/>
            <sz val="9"/>
            <color indexed="81"/>
            <rFont val="Segoe UI"/>
            <family val="2"/>
          </rPr>
          <t>Arthur Rodrigues:</t>
        </r>
        <r>
          <rPr>
            <sz val="9"/>
            <color indexed="81"/>
            <rFont val="Segoe UI"/>
            <family val="2"/>
          </rPr>
          <t xml:space="preserve">
as reservas não devem ser consumidas pelo Pejuizo?</t>
        </r>
      </text>
    </comment>
  </commentList>
</comments>
</file>

<file path=xl/sharedStrings.xml><?xml version="1.0" encoding="utf-8"?>
<sst xmlns="http://schemas.openxmlformats.org/spreadsheetml/2006/main" count="445" uniqueCount="337">
  <si>
    <t xml:space="preserve">  Ajustes de períodos anteriores</t>
  </si>
  <si>
    <t xml:space="preserve">  Reversão de reservas</t>
  </si>
  <si>
    <t xml:space="preserve">  Aumento de capital</t>
  </si>
  <si>
    <t xml:space="preserve">    Juros capital próprio</t>
  </si>
  <si>
    <t xml:space="preserve">  Ajustes ao valor de mercado - TVM e Derivativos</t>
  </si>
  <si>
    <t>Ajustes de períodos anteriores</t>
  </si>
  <si>
    <t>Depósitos</t>
  </si>
  <si>
    <t>Instrumentos financeiros derivativos</t>
  </si>
  <si>
    <t>TOTAL DO ATIVO</t>
  </si>
  <si>
    <t>DEMONSTRAÇÕES DAS MUTAÇÕES DO PATRIMÔNIO LÍQUIDO</t>
  </si>
  <si>
    <t xml:space="preserve">  CAPITAL</t>
  </si>
  <si>
    <t xml:space="preserve"> RESERVAS</t>
  </si>
  <si>
    <t xml:space="preserve"> REALIZADO</t>
  </si>
  <si>
    <t xml:space="preserve">  DE</t>
  </si>
  <si>
    <t xml:space="preserve"> DE</t>
  </si>
  <si>
    <t xml:space="preserve">  PREJUÍZOS</t>
  </si>
  <si>
    <t xml:space="preserve"> CAPITAL</t>
  </si>
  <si>
    <t xml:space="preserve"> CAPITAL </t>
  </si>
  <si>
    <t xml:space="preserve">  ACUMULADOS</t>
  </si>
  <si>
    <t xml:space="preserve"> A T I V O</t>
  </si>
  <si>
    <t>TOTAL DO PASSIVO E PATRIMÔNIO LÍQUIDO</t>
  </si>
  <si>
    <t>RESERVAS</t>
  </si>
  <si>
    <t>LUCROS</t>
  </si>
  <si>
    <t>AJUSTES DE</t>
  </si>
  <si>
    <t>AVALIAÇÃO</t>
  </si>
  <si>
    <t>PATRIMONIAL</t>
  </si>
  <si>
    <t>Fluxos de caixa das atividades operacionais</t>
  </si>
  <si>
    <t>Caixa líquido proveniente das atividades operacionais</t>
  </si>
  <si>
    <t>Fluxos de caixa das atividades de investimento</t>
  </si>
  <si>
    <t>Caixa líquido usado nas atividades de investimento</t>
  </si>
  <si>
    <t>Fluxos de caixa das atividades de financiamento</t>
  </si>
  <si>
    <t>Caixa líquido usado nas atividades de financiamento</t>
  </si>
  <si>
    <t>Aumento líquido de caixa e equivalentes de caixa</t>
  </si>
  <si>
    <t>Demonstração dos Fluxos de Caixa pelo Método Direto</t>
  </si>
  <si>
    <t>Pagamentos de impostos e contribuições</t>
  </si>
  <si>
    <t>Pagamentos de imposto de renda e contribuição social</t>
  </si>
  <si>
    <t>Caixa gerado pelas operações</t>
  </si>
  <si>
    <t>(Aumento) diminuição em ativos operacionais</t>
  </si>
  <si>
    <t>Outros créditos - diversos</t>
  </si>
  <si>
    <t>Outros valores e bens</t>
  </si>
  <si>
    <t>Caixa e equivalentes de caixa no início do período</t>
  </si>
  <si>
    <t>Caixa e equivalentes de caixa no fim do período</t>
  </si>
  <si>
    <t>AÇÕES EM</t>
  </si>
  <si>
    <t>TESOURARIA</t>
  </si>
  <si>
    <t>Recebimentos de corretagens e comissões</t>
  </si>
  <si>
    <t>Pagamentos a empregados e fornecedores</t>
  </si>
  <si>
    <t>Aumento (diminuição) em passivos operacionais</t>
  </si>
  <si>
    <t>Relações interfinanceiras</t>
  </si>
  <si>
    <t>Obrigações por empréstimos</t>
  </si>
  <si>
    <t>Operações de crédito</t>
  </si>
  <si>
    <t>Negociação e intermediação de valores</t>
  </si>
  <si>
    <t>Outros pagamentos e recebimentos</t>
  </si>
  <si>
    <t>Outras Obrigações - Diversos</t>
  </si>
  <si>
    <t>Resultado com TVM e instrumentos financeiros</t>
  </si>
  <si>
    <t>Renda de operações de crédito</t>
  </si>
  <si>
    <t>Dividendos e juros de capital recebidos</t>
  </si>
  <si>
    <t>Recebido pela integralização de capital</t>
  </si>
  <si>
    <t>Investimentos</t>
  </si>
  <si>
    <t>Recebido pela Alienação de investimentos</t>
  </si>
  <si>
    <t>LUCRO LÍQUIDO AJUSTADO</t>
  </si>
  <si>
    <t>Lucro líquido (prejuízo do período)</t>
  </si>
  <si>
    <t>Pagamento Dividendos e Juros de Capital</t>
  </si>
  <si>
    <t>(Aquisição)/Alienação de Permanente</t>
  </si>
  <si>
    <t>Depreciação e Amortização</t>
  </si>
  <si>
    <t>Resultado de Equivalência Patrimonial</t>
  </si>
  <si>
    <t>Variação em Ativos e Passivos Operacionais</t>
  </si>
  <si>
    <t xml:space="preserve">          (exceto caixa e equivalentes de caixa)</t>
  </si>
  <si>
    <t>Resultado de operações de câmbio</t>
  </si>
  <si>
    <t>Invest</t>
  </si>
  <si>
    <t>(Gastos) Alienação do Diferido</t>
  </si>
  <si>
    <t>CONCILIAÇÃO PARA NOTAS EXPLICATIVAS</t>
  </si>
  <si>
    <t xml:space="preserve">  Redução de capital</t>
  </si>
  <si>
    <t>Caixa</t>
  </si>
  <si>
    <t>Result</t>
  </si>
  <si>
    <t>Compra de ativo imobilizado</t>
  </si>
  <si>
    <t>Aplicações no diferido (+-)</t>
  </si>
  <si>
    <t>Recebido pela venda de imobilizado</t>
  </si>
  <si>
    <t>Ajuste de períodos anteriores (+-)</t>
  </si>
  <si>
    <t>Balanço</t>
  </si>
  <si>
    <t xml:space="preserve">    Reserva especial de lucros</t>
  </si>
  <si>
    <t>Redução de Capital</t>
  </si>
  <si>
    <t>Lucros e Dividendos recebidos de Coligadas/Controladas</t>
  </si>
  <si>
    <t>Redução de capital</t>
  </si>
  <si>
    <t>Resultado de participações em coligadas/controladas</t>
  </si>
  <si>
    <t>Variação de Ativos e Obrigações</t>
  </si>
  <si>
    <t>Alienações de:</t>
  </si>
  <si>
    <t xml:space="preserve">     Investimentos</t>
  </si>
  <si>
    <t xml:space="preserve">     Imobilizado de uso</t>
  </si>
  <si>
    <t>Inversões em:</t>
  </si>
  <si>
    <t>Dividendos recebidos de coligadas/controladas</t>
  </si>
  <si>
    <t>Recebimento pela integralização de capital</t>
  </si>
  <si>
    <t>TVM e instrumentos financeiros derivativos</t>
  </si>
  <si>
    <t>CIRCULANTE</t>
  </si>
  <si>
    <t>NÃO CIRCULANTE</t>
  </si>
  <si>
    <t>PATRIMÔNIO LÍQUIDO</t>
  </si>
  <si>
    <t>DFCi/Mut</t>
  </si>
  <si>
    <t>Aumento (Redução) Passivo Circulante</t>
  </si>
  <si>
    <t>Aumento (Redução) Passivo Exig. Longo Prazo</t>
  </si>
  <si>
    <t>(Aumento) Redução do Ativo Circulante</t>
  </si>
  <si>
    <t>(Aumento) Redução Real. Longo Prazo</t>
  </si>
  <si>
    <t>Captações no mercado aberto</t>
  </si>
  <si>
    <t>RESERVA</t>
  </si>
  <si>
    <t>LEGAL</t>
  </si>
  <si>
    <t>ESPECIAIS DE</t>
  </si>
  <si>
    <t>Provisão para impostos no resultado</t>
  </si>
  <si>
    <t>Provisão de impostos no resultado</t>
  </si>
  <si>
    <t>Variação no ajuste de avaliação patrimonial</t>
  </si>
  <si>
    <t xml:space="preserve"> DEMONSTRAÇÃO DO RESULTADO ABRANGENTE</t>
  </si>
  <si>
    <t>RESULTADO ABRANGENTE</t>
  </si>
  <si>
    <t>RESULTADO ABRANGENTE TOTAL</t>
  </si>
  <si>
    <t>Inversões líquidas no intangível</t>
  </si>
  <si>
    <t>Dividendos/Lucros pagos</t>
  </si>
  <si>
    <t>Provisão (reversão) de impostos diferidos</t>
  </si>
  <si>
    <t xml:space="preserve">  Aquisição de ações próprias</t>
  </si>
  <si>
    <t>Aquisição de ações próprias</t>
  </si>
  <si>
    <t>REDUÇÃO</t>
  </si>
  <si>
    <t>DEMONSTRAÇÃO DOS FLUXOS DE CAIXA (Método Indireto)</t>
  </si>
  <si>
    <t>PARTICIPAÇÃO DE NÃO CONTROLADORES</t>
  </si>
  <si>
    <t>LUCRO LÍQUIDO DEPOIS DA PARTICIPAÇÃO DE NÃO CONTROLADORES</t>
  </si>
  <si>
    <t>PARTICIPAÇÃO</t>
  </si>
  <si>
    <t>CONTROLADORES</t>
  </si>
  <si>
    <t>DE NÃO</t>
  </si>
  <si>
    <t xml:space="preserve">  Participação de não controladores</t>
  </si>
  <si>
    <t>Atualizações monetáiras de depósitos judiciais</t>
  </si>
  <si>
    <t xml:space="preserve">  Redução de IR e CS por Juros de Capital pagos</t>
  </si>
  <si>
    <t xml:space="preserve">    Reserva Legal/Estatutária</t>
  </si>
  <si>
    <t>BALANÇO PATRIMONIAL</t>
  </si>
  <si>
    <t xml:space="preserve">BALANÇO PATRIMONIAL </t>
  </si>
  <si>
    <t xml:space="preserve">Provisão (reversão) de provisões para passivos contingentes </t>
  </si>
  <si>
    <t>As notas explicativas  são parte integrante das demonstrações financeiras.</t>
  </si>
  <si>
    <t>Reversão de PLR</t>
  </si>
  <si>
    <t>Ajustes de avaliação patrimonial no resultado</t>
  </si>
  <si>
    <t xml:space="preserve">  Dividendos intermediários</t>
  </si>
  <si>
    <t xml:space="preserve">     Dividendos propostos</t>
  </si>
  <si>
    <t/>
  </si>
  <si>
    <t>Nº de ações ..................................:</t>
  </si>
  <si>
    <t>Lucro/(Prejuízo) por  ação.............R$</t>
  </si>
  <si>
    <t>Despesas Do Exercicio Seguinte</t>
  </si>
  <si>
    <t>Mútuo a receber</t>
  </si>
  <si>
    <t>REALIZÁVEL A LONGO PRAZO</t>
  </si>
  <si>
    <t>Imobilizado</t>
  </si>
  <si>
    <t xml:space="preserve">Intangíveis </t>
  </si>
  <si>
    <t>Obrigações trabalhistas</t>
  </si>
  <si>
    <t>Contas a pagar</t>
  </si>
  <si>
    <t>Imposto de renda e contribuição social</t>
  </si>
  <si>
    <t>Adiantamento de clientes</t>
  </si>
  <si>
    <t>Operações de mútuo</t>
  </si>
  <si>
    <t>Capital social</t>
  </si>
  <si>
    <t xml:space="preserve">Reservas de capital </t>
  </si>
  <si>
    <t>Reservas Legal</t>
  </si>
  <si>
    <t>Lucro/Preuízo do exercício</t>
  </si>
  <si>
    <t>Distribuição de Lucros</t>
  </si>
  <si>
    <t>Receita bruta de vendas</t>
  </si>
  <si>
    <t xml:space="preserve">  Receita de prestação de serviços</t>
  </si>
  <si>
    <t xml:space="preserve">  Impostos incidentes sobre serviços</t>
  </si>
  <si>
    <t xml:space="preserve">  Custo com Pessoal</t>
  </si>
  <si>
    <t xml:space="preserve">  Outros Custos</t>
  </si>
  <si>
    <t>Resultado bruto</t>
  </si>
  <si>
    <t>Despesas / Receitas operacionais</t>
  </si>
  <si>
    <t>Despesas com pessoal</t>
  </si>
  <si>
    <t>Despesas administrativas</t>
  </si>
  <si>
    <t>Despesas tributárias</t>
  </si>
  <si>
    <t>Outras despesas e receitas operacionais</t>
  </si>
  <si>
    <t>Perdas Particip Societárias</t>
  </si>
  <si>
    <t>Depreciações e amortizações</t>
  </si>
  <si>
    <t>Resultado de equivalência patrimonial</t>
  </si>
  <si>
    <t xml:space="preserve">  Receitas financeiras</t>
  </si>
  <si>
    <t xml:space="preserve">   Contribuição social</t>
  </si>
  <si>
    <t xml:space="preserve">   Imposto de renda</t>
  </si>
  <si>
    <t>RESULTADO LÍQUIDO DO EXERCÍCIO</t>
  </si>
  <si>
    <t>(Aumento) redução em impostos a recuperar</t>
  </si>
  <si>
    <t>Aumento (redução) em fornecedores</t>
  </si>
  <si>
    <t>Aumento (redução) em obrigações trabalhistas</t>
  </si>
  <si>
    <t>Aumento (redução) em obrigações tributarias</t>
  </si>
  <si>
    <t xml:space="preserve">Caixa e equivalentes de caixa no início do exercício </t>
  </si>
  <si>
    <t>Caixa e equivalentes de caixa no fim do exercício</t>
  </si>
  <si>
    <t>Pagamentos/Recebimentos de Mutuo</t>
  </si>
  <si>
    <t>Provisão para contigencias</t>
  </si>
  <si>
    <t>irrf s/ faturamento a recup.</t>
  </si>
  <si>
    <t>Total</t>
  </si>
  <si>
    <t>Custo</t>
  </si>
  <si>
    <t>Amortização</t>
  </si>
  <si>
    <t>Saldo líquido</t>
  </si>
  <si>
    <t>Adição</t>
  </si>
  <si>
    <t>Baixas</t>
  </si>
  <si>
    <t>Depreciação</t>
  </si>
  <si>
    <t>Total net</t>
  </si>
  <si>
    <t>irrf s/terceiros a recolher</t>
  </si>
  <si>
    <t>pis/cofins/csll retido a rec</t>
  </si>
  <si>
    <t>despesas bancarias</t>
  </si>
  <si>
    <t>(Aumento) redução em contas a receber</t>
  </si>
  <si>
    <t>(Aumento) redução em adiantamento de fornecedores</t>
  </si>
  <si>
    <t>(Aumento) redução em adiantamento de funcionarios</t>
  </si>
  <si>
    <t>(Aumento) redução em outros debitos</t>
  </si>
  <si>
    <t>(Aumento) redução em despesas do exercicio seguinte</t>
  </si>
  <si>
    <t>emprestimos</t>
  </si>
  <si>
    <t>Perdas para operações de créditos de liquidação duvidosa</t>
  </si>
  <si>
    <t>Depreciações</t>
  </si>
  <si>
    <t>Amortizações</t>
  </si>
  <si>
    <t>Alienação de bens</t>
  </si>
  <si>
    <r>
      <t xml:space="preserve"> </t>
    </r>
    <r>
      <rPr>
        <b/>
        <sz val="10"/>
        <color rgb="FF000000"/>
        <rFont val="Trebuchet MS"/>
        <family val="2"/>
      </rPr>
      <t>Descrição</t>
    </r>
  </si>
  <si>
    <t>clientes nacionais</t>
  </si>
  <si>
    <t>adiantamento de ferias</t>
  </si>
  <si>
    <t>benfeitoria em bens terceiros</t>
  </si>
  <si>
    <t>inss a recolher</t>
  </si>
  <si>
    <t>fgts a recolher</t>
  </si>
  <si>
    <t>irrf sobre salarios</t>
  </si>
  <si>
    <t>provisao de ferias</t>
  </si>
  <si>
    <t>provisao encargos s/ ferias</t>
  </si>
  <si>
    <t>pis a recolher</t>
  </si>
  <si>
    <t>cofins a recolher</t>
  </si>
  <si>
    <t>iss a recolher</t>
  </si>
  <si>
    <t>iss retido a recolher</t>
  </si>
  <si>
    <t>inss</t>
  </si>
  <si>
    <t>fgts</t>
  </si>
  <si>
    <t>13º salário</t>
  </si>
  <si>
    <t>pró-labore</t>
  </si>
  <si>
    <t>Serviços com terceiros</t>
  </si>
  <si>
    <t>multa/juros s/ pagamentos</t>
  </si>
  <si>
    <t>rend. de aplic financeira</t>
  </si>
  <si>
    <t>juros e multas ativas</t>
  </si>
  <si>
    <t>PROVU SERVICOS DE ADMINISTRACAO E CORRESPONDENTE BANCARIO S.A.</t>
  </si>
  <si>
    <t>CNPJ: 20.265.259/0001-71</t>
  </si>
  <si>
    <t>Provisao Para Contingencias</t>
  </si>
  <si>
    <t>Aumento (redução) em outras contas a pagar</t>
  </si>
  <si>
    <t>bco bmg</t>
  </si>
  <si>
    <t>aplicacao bco santander 4347/13-010256-0 (a)</t>
  </si>
  <si>
    <t>bco socopa</t>
  </si>
  <si>
    <t>aplicacao bco socopa (a)</t>
  </si>
  <si>
    <t>A vencer</t>
  </si>
  <si>
    <t>saldo negativo irpj 2016</t>
  </si>
  <si>
    <t>saldo negativo irpj 2017</t>
  </si>
  <si>
    <t>saldo negativo irpj 2018</t>
  </si>
  <si>
    <t>saldo negativo irpj 2019</t>
  </si>
  <si>
    <t>saldo negativo irpj 2020</t>
  </si>
  <si>
    <t>irrf retido de aplicacao</t>
  </si>
  <si>
    <t>credito de cofins a recuperar</t>
  </si>
  <si>
    <t>pis pago a maior a recuperar</t>
  </si>
  <si>
    <t>cofins pago a maior a recup.</t>
  </si>
  <si>
    <t>irrf pago a maior a recuperar</t>
  </si>
  <si>
    <t>inss pago a maior a recuperar</t>
  </si>
  <si>
    <t>notas de debitos - apoema</t>
  </si>
  <si>
    <t>education</t>
  </si>
  <si>
    <t>maquinas/equipamentos administrativos</t>
  </si>
  <si>
    <t xml:space="preserve">% </t>
  </si>
  <si>
    <t xml:space="preserve">Patrimônio </t>
  </si>
  <si>
    <t xml:space="preserve">Resultado do </t>
  </si>
  <si>
    <t>Participação</t>
  </si>
  <si>
    <t>Líquido</t>
  </si>
  <si>
    <t>exercício</t>
  </si>
  <si>
    <t>Saldo em 2019</t>
  </si>
  <si>
    <t>(+/-) Equivalência patrimonial</t>
  </si>
  <si>
    <t>(-) Distribuição de lucros</t>
  </si>
  <si>
    <t>(+/-) Distribuição desproporcional de lucros</t>
  </si>
  <si>
    <t>(+/-) Aumento de Capital</t>
  </si>
  <si>
    <t>Saldo em 2020</t>
  </si>
  <si>
    <t>Saldo em 2021</t>
  </si>
  <si>
    <t>Ativo</t>
  </si>
  <si>
    <t>Passivo (circulante e não circulante)</t>
  </si>
  <si>
    <t>Patrimônio líquido</t>
  </si>
  <si>
    <t>Lucro líquido (prejuízo) do exercício</t>
  </si>
  <si>
    <t>Provu Sociedade de Créditos Diretos S/A</t>
  </si>
  <si>
    <t>salarios a pagar</t>
  </si>
  <si>
    <t>fornecedores nacionais</t>
  </si>
  <si>
    <t>provisão afiliados</t>
  </si>
  <si>
    <t>Fornecedores</t>
  </si>
  <si>
    <t>Contas a Pagar</t>
  </si>
  <si>
    <t>aluguel a pagar</t>
  </si>
  <si>
    <t>emprestimo pessoal / cred direto consumidor</t>
  </si>
  <si>
    <t>provisões Gerenciais</t>
  </si>
  <si>
    <t>outras despesas</t>
  </si>
  <si>
    <t>propaganda/publicidade</t>
  </si>
  <si>
    <t>bonus</t>
  </si>
  <si>
    <t>salarios</t>
  </si>
  <si>
    <t>beneficios</t>
  </si>
  <si>
    <t>férias</t>
  </si>
  <si>
    <t>Provisões Trabalhistas</t>
  </si>
  <si>
    <t>Gastos com Ocupação</t>
  </si>
  <si>
    <t>Perdas diversas</t>
  </si>
  <si>
    <t>Outros gastos administrativos</t>
  </si>
  <si>
    <t>Descontos Concedidos</t>
  </si>
  <si>
    <t>Variação Cambial</t>
  </si>
  <si>
    <t>Caixa e equivalente de caixa</t>
  </si>
  <si>
    <t>(Anteriormente denominada Lendico Serviços de Administração e Correspondente Bancário S.A)</t>
  </si>
  <si>
    <t xml:space="preserve">(-) Perda estimada para crédito de liquidação duvidosa </t>
  </si>
  <si>
    <t>Contas a receber</t>
  </si>
  <si>
    <t>Impostos a recuperar</t>
  </si>
  <si>
    <t>Adiantamento a fornecedores</t>
  </si>
  <si>
    <t>Adiantamento a empregados</t>
  </si>
  <si>
    <t>Outros débitos</t>
  </si>
  <si>
    <t>Em 31 de dezembro de 2021 e 2020</t>
  </si>
  <si>
    <t>computadores e periféricos</t>
  </si>
  <si>
    <t>moveis e utensílios administrativos</t>
  </si>
  <si>
    <t>A Provu SCD Participações Ltda., tem sede na cidade de São Paulo, estado de São Paulo, na rua Iguatemi, nº 151, andar 29, conjunto 292, Itaim Bibi, CEP 01451-011, podendo manter filiais, escritórios e representações em qualquer localidade do País, por deliberação dos sócios titulares representando a maioria do capital social.</t>
  </si>
  <si>
    <t>A Sociedade tem como objeto social a participação única e exclusiva em instituições financeiras e demais instituições autorizadas a funcionar pelo Banco Central do Brasil como sócio, acionista ou quotista.</t>
  </si>
  <si>
    <t>Contas a receber de clientes</t>
  </si>
  <si>
    <t>Outros créditos</t>
  </si>
  <si>
    <t>Obrigações tributárias</t>
  </si>
  <si>
    <t>Empréstimos</t>
  </si>
  <si>
    <t>Emprestimos</t>
  </si>
  <si>
    <t>Custos dos serviços prestados</t>
  </si>
  <si>
    <t xml:space="preserve">Receita líquida </t>
  </si>
  <si>
    <t xml:space="preserve">Prejuizo antes do resultado financeiro </t>
  </si>
  <si>
    <t>Resultado antes de provisão para o IRPJ e CSLL</t>
  </si>
  <si>
    <t>PREJUÍZO DO EXERCICIO</t>
  </si>
  <si>
    <t>Saldos em 1º de janeiro de 2020</t>
  </si>
  <si>
    <t xml:space="preserve">Mutação do exercício </t>
  </si>
  <si>
    <t>Saldos em 1º de janeiro de 2021</t>
  </si>
  <si>
    <t>Saldos em 31 de dezembro de 2020</t>
  </si>
  <si>
    <t>Prejuizo do exercício</t>
  </si>
  <si>
    <t xml:space="preserve">  Prejuizo do exercício</t>
  </si>
  <si>
    <t>Saldos em 31 de dezembro de 2021</t>
  </si>
  <si>
    <t>Prejuizo ajustado</t>
  </si>
  <si>
    <t>Caixa líquido consumido nas atividades operacionais</t>
  </si>
  <si>
    <t>Caixa líquido consumido nas atividades de investimento</t>
  </si>
  <si>
    <t>Caixa líquido gerado nas atividades de financiamento</t>
  </si>
  <si>
    <t xml:space="preserve">                  -   </t>
  </si>
  <si>
    <t xml:space="preserve">                    -   </t>
  </si>
  <si>
    <t xml:space="preserve">                  - </t>
  </si>
  <si>
    <t xml:space="preserve">                    - </t>
  </si>
  <si>
    <t xml:space="preserve">                - </t>
  </si>
  <si>
    <t>DEMONSTRAÇÃO DO RESULTADO</t>
  </si>
  <si>
    <t>Exercícios findos em 31 de dezembro de 2021 e 2020</t>
  </si>
  <si>
    <t xml:space="preserve">nota explicativa </t>
  </si>
  <si>
    <t>2021</t>
  </si>
  <si>
    <t>2020</t>
  </si>
  <si>
    <t>Prejuízos acumulados</t>
  </si>
  <si>
    <t xml:space="preserve">  P A S S I V O E PATRIMÔNIO LÍQUIDO</t>
  </si>
  <si>
    <t>Despesas comerciais</t>
  </si>
  <si>
    <t>Resultado financeiro líquido</t>
  </si>
  <si>
    <t xml:space="preserve">   Outros resultados abrangentes</t>
  </si>
  <si>
    <t xml:space="preserve">TOTAL </t>
  </si>
  <si>
    <t>ISS</t>
  </si>
  <si>
    <t>Pis</t>
  </si>
  <si>
    <t>Cofins</t>
  </si>
  <si>
    <t>Provu SCD Participações Ltda</t>
  </si>
  <si>
    <t>Apoema Servicing Recuperação de Créditos e Consultoria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</si>
</sst>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_(* #,##0_);_(* \(#,##0\);_(* &quot;-&quot;??_);_(@_)"/>
    <numFmt numFmtId="167" formatCode="dd/mm/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 val="singleAccounting"/>
      <sz val="9"/>
      <name val="Arial"/>
      <family val="2"/>
    </font>
    <font>
      <sz val="7"/>
      <name val="Arial"/>
      <family val="2"/>
    </font>
    <font>
      <b/>
      <u val="singleAccounting"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u val="singleAccounting"/>
      <sz val="9"/>
      <name val="Arial"/>
      <family val="2"/>
    </font>
    <font>
      <b/>
      <u val="doubleAccounting"/>
      <sz val="10"/>
      <name val="Arial"/>
      <family val="2"/>
    </font>
    <font>
      <u val="singleAccounting"/>
      <sz val="9"/>
      <color indexed="12"/>
      <name val="Arial"/>
      <family val="2"/>
    </font>
    <font>
      <sz val="8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indexed="12"/>
      <name val="Trebuchet MS"/>
      <family val="2"/>
    </font>
    <font>
      <b/>
      <sz val="11"/>
      <color indexed="10"/>
      <name val="Trebuchet MS"/>
      <family val="2"/>
    </font>
    <font>
      <b/>
      <i/>
      <sz val="11"/>
      <name val="Trebuchet MS"/>
      <family val="2"/>
    </font>
    <font>
      <sz val="11"/>
      <color indexed="47"/>
      <name val="Trebuchet MS"/>
      <family val="2"/>
    </font>
    <font>
      <b/>
      <sz val="11"/>
      <color rgb="FFFF0000"/>
      <name val="Trebuchet MS"/>
      <family val="2"/>
    </font>
    <font>
      <b/>
      <u val="singleAccounting"/>
      <sz val="1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</font>
    <font>
      <sz val="11"/>
      <name val="Calibri"/>
      <family val="2"/>
    </font>
    <font>
      <sz val="11"/>
      <color theme="1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3" fillId="0" borderId="0"/>
    <xf numFmtId="164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330">
    <xf numFmtId="0" fontId="0" fillId="0" borderId="0" xfId="0"/>
    <xf numFmtId="166" fontId="8" fillId="2" borderId="0" xfId="2" applyNumberFormat="1" applyFont="1" applyFill="1" applyBorder="1" applyProtection="1"/>
    <xf numFmtId="166" fontId="8" fillId="2" borderId="0" xfId="2" applyNumberFormat="1" applyFont="1" applyFill="1" applyBorder="1" applyAlignment="1" applyProtection="1">
      <alignment horizontal="right"/>
    </xf>
    <xf numFmtId="166" fontId="9" fillId="2" borderId="1" xfId="2" applyNumberFormat="1" applyFont="1" applyFill="1" applyBorder="1" applyAlignment="1" applyProtection="1">
      <alignment horizontal="right"/>
    </xf>
    <xf numFmtId="166" fontId="8" fillId="0" borderId="0" xfId="2" applyNumberFormat="1" applyFont="1" applyBorder="1"/>
    <xf numFmtId="0" fontId="9" fillId="3" borderId="5" xfId="1" applyFont="1" applyFill="1" applyBorder="1" applyProtection="1"/>
    <xf numFmtId="0" fontId="15" fillId="3" borderId="6" xfId="1" applyFont="1" applyFill="1" applyBorder="1" applyAlignment="1" applyProtection="1">
      <alignment horizontal="centerContinuous"/>
    </xf>
    <xf numFmtId="166" fontId="15" fillId="3" borderId="6" xfId="2" applyNumberFormat="1" applyFont="1" applyFill="1" applyBorder="1" applyAlignment="1" applyProtection="1">
      <alignment horizontal="centerContinuous"/>
    </xf>
    <xf numFmtId="0" fontId="9" fillId="3" borderId="7" xfId="1" applyFont="1" applyFill="1" applyBorder="1" applyAlignment="1" applyProtection="1">
      <alignment horizontal="centerContinuous"/>
    </xf>
    <xf numFmtId="164" fontId="13" fillId="0" borderId="0" xfId="2" applyFont="1"/>
    <xf numFmtId="0" fontId="9" fillId="3" borderId="9" xfId="1" applyFont="1" applyFill="1" applyBorder="1" applyProtection="1"/>
    <xf numFmtId="0" fontId="9" fillId="3" borderId="0" xfId="1" applyFont="1" applyFill="1" applyBorder="1" applyAlignment="1" applyProtection="1">
      <alignment horizontal="centerContinuous"/>
    </xf>
    <xf numFmtId="166" fontId="15" fillId="3" borderId="0" xfId="2" applyNumberFormat="1" applyFont="1" applyFill="1" applyBorder="1" applyAlignment="1" applyProtection="1">
      <alignment horizontal="centerContinuous"/>
    </xf>
    <xf numFmtId="0" fontId="9" fillId="3" borderId="8" xfId="1" applyFont="1" applyFill="1" applyBorder="1" applyAlignment="1" applyProtection="1">
      <alignment horizontal="centerContinuous"/>
    </xf>
    <xf numFmtId="0" fontId="9" fillId="3" borderId="11" xfId="1" applyFont="1" applyFill="1" applyBorder="1" applyProtection="1"/>
    <xf numFmtId="0" fontId="9" fillId="3" borderId="1" xfId="1" applyFont="1" applyFill="1" applyBorder="1" applyAlignment="1" applyProtection="1">
      <alignment horizontal="centerContinuous"/>
    </xf>
    <xf numFmtId="166" fontId="9" fillId="3" borderId="1" xfId="2" applyNumberFormat="1" applyFont="1" applyFill="1" applyBorder="1" applyAlignment="1" applyProtection="1">
      <alignment horizontal="centerContinuous"/>
    </xf>
    <xf numFmtId="0" fontId="11" fillId="3" borderId="10" xfId="1" applyFont="1" applyFill="1" applyBorder="1" applyAlignment="1" applyProtection="1">
      <alignment horizontal="right"/>
    </xf>
    <xf numFmtId="164" fontId="13" fillId="2" borderId="0" xfId="2" applyFont="1" applyFill="1"/>
    <xf numFmtId="166" fontId="13" fillId="2" borderId="0" xfId="2" applyNumberFormat="1" applyFont="1" applyFill="1"/>
    <xf numFmtId="164" fontId="6" fillId="2" borderId="0" xfId="2" applyFont="1" applyFill="1"/>
    <xf numFmtId="164" fontId="16" fillId="2" borderId="0" xfId="2" applyFont="1" applyFill="1"/>
    <xf numFmtId="166" fontId="6" fillId="2" borderId="0" xfId="2" applyNumberFormat="1" applyFont="1" applyFill="1"/>
    <xf numFmtId="164" fontId="6" fillId="0" borderId="0" xfId="2" applyFont="1"/>
    <xf numFmtId="166" fontId="17" fillId="2" borderId="0" xfId="2" applyNumberFormat="1" applyFont="1" applyFill="1"/>
    <xf numFmtId="164" fontId="6" fillId="3" borderId="0" xfId="2" applyFont="1" applyFill="1"/>
    <xf numFmtId="166" fontId="12" fillId="3" borderId="0" xfId="2" applyNumberFormat="1" applyFont="1" applyFill="1"/>
    <xf numFmtId="164" fontId="13" fillId="2" borderId="1" xfId="2" applyFont="1" applyFill="1" applyBorder="1"/>
    <xf numFmtId="166" fontId="13" fillId="2" borderId="1" xfId="2" applyNumberFormat="1" applyFont="1" applyFill="1" applyBorder="1"/>
    <xf numFmtId="164" fontId="13" fillId="2" borderId="0" xfId="2" applyFont="1" applyFill="1" applyBorder="1"/>
    <xf numFmtId="166" fontId="13" fillId="2" borderId="0" xfId="2" applyNumberFormat="1" applyFont="1" applyFill="1" applyBorder="1"/>
    <xf numFmtId="164" fontId="13" fillId="0" borderId="0" xfId="2" applyFont="1" applyFill="1"/>
    <xf numFmtId="166" fontId="8" fillId="2" borderId="1" xfId="2" applyNumberFormat="1" applyFont="1" applyFill="1" applyBorder="1" applyProtection="1"/>
    <xf numFmtId="166" fontId="9" fillId="2" borderId="1" xfId="2" applyNumberFormat="1" applyFont="1" applyFill="1" applyBorder="1" applyProtection="1"/>
    <xf numFmtId="166" fontId="9" fillId="3" borderId="6" xfId="2" applyNumberFormat="1" applyFont="1" applyFill="1" applyBorder="1" applyAlignment="1" applyProtection="1">
      <alignment horizontal="centerContinuous"/>
    </xf>
    <xf numFmtId="166" fontId="9" fillId="3" borderId="0" xfId="2" applyNumberFormat="1" applyFont="1" applyFill="1" applyBorder="1" applyAlignment="1" applyProtection="1">
      <alignment horizontal="centerContinuous"/>
    </xf>
    <xf numFmtId="166" fontId="11" fillId="3" borderId="1" xfId="2" applyNumberFormat="1" applyFont="1" applyFill="1" applyBorder="1" applyAlignment="1" applyProtection="1">
      <alignment horizontal="right"/>
    </xf>
    <xf numFmtId="164" fontId="7" fillId="2" borderId="0" xfId="2" applyFont="1" applyFill="1"/>
    <xf numFmtId="166" fontId="18" fillId="2" borderId="0" xfId="2" applyNumberFormat="1" applyFont="1" applyFill="1" applyAlignment="1">
      <alignment horizontal="center"/>
    </xf>
    <xf numFmtId="166" fontId="13" fillId="2" borderId="0" xfId="2" applyNumberFormat="1" applyFont="1" applyFill="1" applyAlignment="1">
      <alignment horizontal="center"/>
    </xf>
    <xf numFmtId="166" fontId="16" fillId="2" borderId="0" xfId="2" applyNumberFormat="1" applyFont="1" applyFill="1"/>
    <xf numFmtId="164" fontId="16" fillId="0" borderId="0" xfId="2" applyFont="1"/>
    <xf numFmtId="164" fontId="8" fillId="2" borderId="0" xfId="2" applyFont="1" applyFill="1"/>
    <xf numFmtId="166" fontId="10" fillId="2" borderId="0" xfId="2" applyNumberFormat="1" applyFont="1" applyFill="1"/>
    <xf numFmtId="164" fontId="8" fillId="0" borderId="0" xfId="2" applyFont="1"/>
    <xf numFmtId="166" fontId="19" fillId="2" borderId="0" xfId="2" applyNumberFormat="1" applyFont="1" applyFill="1"/>
    <xf numFmtId="164" fontId="6" fillId="0" borderId="0" xfId="2" applyFont="1" applyFill="1"/>
    <xf numFmtId="166" fontId="12" fillId="2" borderId="0" xfId="2" applyNumberFormat="1" applyFont="1" applyFill="1"/>
    <xf numFmtId="166" fontId="13" fillId="0" borderId="0" xfId="2" applyNumberFormat="1" applyFont="1"/>
    <xf numFmtId="166" fontId="13" fillId="0" borderId="0" xfId="2" applyNumberFormat="1" applyFont="1" applyFill="1"/>
    <xf numFmtId="164" fontId="13" fillId="3" borderId="0" xfId="2" applyFont="1" applyFill="1"/>
    <xf numFmtId="164" fontId="13" fillId="3" borderId="1" xfId="2" applyFont="1" applyFill="1" applyBorder="1"/>
    <xf numFmtId="164" fontId="8" fillId="3" borderId="1" xfId="2" applyFont="1" applyFill="1" applyBorder="1"/>
    <xf numFmtId="166" fontId="8" fillId="3" borderId="1" xfId="2" applyNumberFormat="1" applyFont="1" applyFill="1" applyBorder="1"/>
    <xf numFmtId="166" fontId="14" fillId="6" borderId="4" xfId="2" applyNumberFormat="1" applyFont="1" applyFill="1" applyBorder="1"/>
    <xf numFmtId="166" fontId="16" fillId="0" borderId="0" xfId="2" applyNumberFormat="1" applyFont="1"/>
    <xf numFmtId="166" fontId="8" fillId="0" borderId="0" xfId="2" applyNumberFormat="1" applyFont="1"/>
    <xf numFmtId="166" fontId="6" fillId="0" borderId="0" xfId="2" applyNumberFormat="1" applyFont="1"/>
    <xf numFmtId="166" fontId="9" fillId="0" borderId="0" xfId="2" applyNumberFormat="1" applyFont="1"/>
    <xf numFmtId="166" fontId="9" fillId="0" borderId="0" xfId="2" applyNumberFormat="1" applyFont="1" applyBorder="1"/>
    <xf numFmtId="166" fontId="13" fillId="0" borderId="5" xfId="2" applyNumberFormat="1" applyFont="1" applyBorder="1"/>
    <xf numFmtId="0" fontId="13" fillId="0" borderId="6" xfId="0" applyFont="1" applyBorder="1"/>
    <xf numFmtId="166" fontId="13" fillId="0" borderId="6" xfId="2" applyNumberFormat="1" applyFont="1" applyBorder="1"/>
    <xf numFmtId="166" fontId="13" fillId="0" borderId="7" xfId="2" applyNumberFormat="1" applyFont="1" applyBorder="1"/>
    <xf numFmtId="166" fontId="13" fillId="0" borderId="9" xfId="2" applyNumberFormat="1" applyFont="1" applyBorder="1"/>
    <xf numFmtId="14" fontId="13" fillId="0" borderId="0" xfId="0" applyNumberFormat="1" applyFont="1" applyBorder="1"/>
    <xf numFmtId="166" fontId="13" fillId="0" borderId="0" xfId="2" applyNumberFormat="1" applyFont="1" applyBorder="1"/>
    <xf numFmtId="167" fontId="13" fillId="0" borderId="0" xfId="2" applyNumberFormat="1" applyFont="1" applyBorder="1"/>
    <xf numFmtId="166" fontId="13" fillId="0" borderId="8" xfId="2" applyNumberFormat="1" applyFont="1" applyBorder="1"/>
    <xf numFmtId="0" fontId="0" fillId="0" borderId="0" xfId="0" applyBorder="1"/>
    <xf numFmtId="166" fontId="16" fillId="0" borderId="9" xfId="2" applyNumberFormat="1" applyFont="1" applyBorder="1"/>
    <xf numFmtId="164" fontId="16" fillId="0" borderId="0" xfId="2" applyFont="1" applyBorder="1"/>
    <xf numFmtId="166" fontId="16" fillId="0" borderId="0" xfId="2" applyNumberFormat="1" applyFont="1" applyBorder="1"/>
    <xf numFmtId="166" fontId="16" fillId="0" borderId="8" xfId="2" applyNumberFormat="1" applyFont="1" applyBorder="1"/>
    <xf numFmtId="0" fontId="0" fillId="3" borderId="0" xfId="0" applyFill="1" applyBorder="1"/>
    <xf numFmtId="166" fontId="13" fillId="3" borderId="0" xfId="2" applyNumberFormat="1" applyFont="1" applyFill="1" applyBorder="1"/>
    <xf numFmtId="166" fontId="8" fillId="0" borderId="9" xfId="2" applyNumberFormat="1" applyFont="1" applyBorder="1"/>
    <xf numFmtId="164" fontId="8" fillId="0" borderId="0" xfId="2" applyFont="1" applyBorder="1"/>
    <xf numFmtId="166" fontId="8" fillId="0" borderId="8" xfId="2" applyNumberFormat="1" applyFont="1" applyBorder="1"/>
    <xf numFmtId="166" fontId="13" fillId="3" borderId="9" xfId="2" applyNumberFormat="1" applyFont="1" applyFill="1" applyBorder="1"/>
    <xf numFmtId="166" fontId="13" fillId="0" borderId="9" xfId="2" applyNumberFormat="1" applyFont="1" applyFill="1" applyBorder="1"/>
    <xf numFmtId="166" fontId="6" fillId="0" borderId="9" xfId="2" applyNumberFormat="1" applyFont="1" applyBorder="1"/>
    <xf numFmtId="164" fontId="6" fillId="0" borderId="0" xfId="2" applyFont="1" applyBorder="1"/>
    <xf numFmtId="166" fontId="6" fillId="0" borderId="0" xfId="2" applyNumberFormat="1" applyFont="1" applyBorder="1"/>
    <xf numFmtId="166" fontId="6" fillId="0" borderId="8" xfId="2" applyNumberFormat="1" applyFont="1" applyBorder="1"/>
    <xf numFmtId="166" fontId="9" fillId="0" borderId="9" xfId="2" applyNumberFormat="1" applyFont="1" applyBorder="1"/>
    <xf numFmtId="166" fontId="9" fillId="0" borderId="8" xfId="2" applyNumberFormat="1" applyFont="1" applyBorder="1"/>
    <xf numFmtId="166" fontId="9" fillId="3" borderId="11" xfId="2" applyNumberFormat="1" applyFont="1" applyFill="1" applyBorder="1"/>
    <xf numFmtId="166" fontId="9" fillId="0" borderId="1" xfId="2" applyNumberFormat="1" applyFont="1" applyBorder="1"/>
    <xf numFmtId="166" fontId="9" fillId="3" borderId="1" xfId="2" applyNumberFormat="1" applyFont="1" applyFill="1" applyBorder="1"/>
    <xf numFmtId="166" fontId="13" fillId="0" borderId="10" xfId="2" applyNumberFormat="1" applyFont="1" applyBorder="1"/>
    <xf numFmtId="166" fontId="9" fillId="3" borderId="0" xfId="2" applyNumberFormat="1" applyFont="1" applyFill="1" applyBorder="1"/>
    <xf numFmtId="166" fontId="9" fillId="3" borderId="9" xfId="2" applyNumberFormat="1" applyFont="1" applyFill="1" applyBorder="1"/>
    <xf numFmtId="166" fontId="9" fillId="0" borderId="3" xfId="2" applyNumberFormat="1" applyFont="1" applyBorder="1"/>
    <xf numFmtId="167" fontId="18" fillId="2" borderId="0" xfId="2" applyNumberFormat="1" applyFont="1" applyFill="1" applyAlignment="1">
      <alignment horizontal="center"/>
    </xf>
    <xf numFmtId="166" fontId="17" fillId="3" borderId="0" xfId="2" applyNumberFormat="1" applyFont="1" applyFill="1" applyAlignment="1">
      <alignment horizontal="center"/>
    </xf>
    <xf numFmtId="167" fontId="17" fillId="3" borderId="0" xfId="2" applyNumberFormat="1" applyFont="1" applyFill="1" applyAlignment="1">
      <alignment horizontal="center"/>
    </xf>
    <xf numFmtId="166" fontId="13" fillId="0" borderId="0" xfId="2" applyNumberFormat="1" applyFont="1" applyFill="1" applyBorder="1"/>
    <xf numFmtId="166" fontId="9" fillId="0" borderId="0" xfId="2" applyNumberFormat="1" applyFont="1" applyFill="1" applyBorder="1"/>
    <xf numFmtId="166" fontId="13" fillId="0" borderId="8" xfId="2" applyNumberFormat="1" applyFont="1" applyFill="1" applyBorder="1"/>
    <xf numFmtId="166" fontId="9" fillId="0" borderId="8" xfId="2" applyNumberFormat="1" applyFont="1" applyFill="1" applyBorder="1"/>
    <xf numFmtId="14" fontId="13" fillId="0" borderId="0" xfId="0" applyNumberFormat="1" applyFont="1" applyBorder="1" applyAlignment="1">
      <alignment horizontal="center"/>
    </xf>
    <xf numFmtId="166" fontId="13" fillId="4" borderId="9" xfId="2" applyNumberFormat="1" applyFont="1" applyFill="1" applyBorder="1"/>
    <xf numFmtId="167" fontId="13" fillId="4" borderId="9" xfId="2" applyNumberFormat="1" applyFont="1" applyFill="1" applyBorder="1"/>
    <xf numFmtId="167" fontId="13" fillId="5" borderId="9" xfId="2" applyNumberFormat="1" applyFont="1" applyFill="1" applyBorder="1"/>
    <xf numFmtId="167" fontId="13" fillId="0" borderId="0" xfId="2" applyNumberFormat="1" applyFont="1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164" fontId="13" fillId="6" borderId="0" xfId="2" applyFont="1" applyFill="1"/>
    <xf numFmtId="166" fontId="13" fillId="5" borderId="0" xfId="2" applyNumberFormat="1" applyFont="1" applyFill="1"/>
    <xf numFmtId="166" fontId="13" fillId="4" borderId="0" xfId="2" applyNumberFormat="1" applyFont="1" applyFill="1"/>
    <xf numFmtId="166" fontId="13" fillId="7" borderId="0" xfId="2" applyNumberFormat="1" applyFont="1" applyFill="1"/>
    <xf numFmtId="164" fontId="9" fillId="2" borderId="0" xfId="2" applyFont="1" applyFill="1"/>
    <xf numFmtId="166" fontId="9" fillId="2" borderId="0" xfId="2" applyNumberFormat="1" applyFont="1" applyFill="1"/>
    <xf numFmtId="164" fontId="9" fillId="0" borderId="0" xfId="2" applyFont="1"/>
    <xf numFmtId="166" fontId="9" fillId="0" borderId="0" xfId="0" applyNumberFormat="1" applyFont="1" applyFill="1" applyBorder="1"/>
    <xf numFmtId="0" fontId="9" fillId="0" borderId="0" xfId="0" applyFont="1" applyFill="1" applyBorder="1"/>
    <xf numFmtId="0" fontId="22" fillId="0" borderId="0" xfId="0" applyFont="1"/>
    <xf numFmtId="0" fontId="23" fillId="9" borderId="0" xfId="0" applyFont="1" applyFill="1" applyBorder="1" applyAlignment="1" applyProtection="1">
      <alignment vertical="center"/>
    </xf>
    <xf numFmtId="0" fontId="23" fillId="9" borderId="0" xfId="0" applyFont="1" applyFill="1" applyBorder="1" applyAlignment="1">
      <alignment vertical="center"/>
    </xf>
    <xf numFmtId="0" fontId="24" fillId="0" borderId="0" xfId="0" applyFont="1"/>
    <xf numFmtId="0" fontId="24" fillId="9" borderId="0" xfId="0" applyFont="1" applyFill="1" applyBorder="1" applyAlignment="1">
      <alignment vertical="center"/>
    </xf>
    <xf numFmtId="37" fontId="23" fillId="9" borderId="14" xfId="0" quotePrefix="1" applyNumberFormat="1" applyFont="1" applyFill="1" applyBorder="1" applyAlignment="1">
      <alignment horizontal="center"/>
    </xf>
    <xf numFmtId="0" fontId="24" fillId="9" borderId="14" xfId="0" applyFont="1" applyFill="1" applyBorder="1" applyAlignment="1">
      <alignment horizontal="center"/>
    </xf>
    <xf numFmtId="37" fontId="24" fillId="9" borderId="14" xfId="0" applyNumberFormat="1" applyFont="1" applyFill="1" applyBorder="1" applyAlignment="1">
      <alignment horizontal="center"/>
    </xf>
    <xf numFmtId="0" fontId="23" fillId="9" borderId="6" xfId="0" applyFont="1" applyFill="1" applyBorder="1"/>
    <xf numFmtId="37" fontId="23" fillId="9" borderId="6" xfId="0" applyNumberFormat="1" applyFont="1" applyFill="1" applyBorder="1" applyAlignment="1">
      <alignment horizontal="center"/>
    </xf>
    <xf numFmtId="37" fontId="23" fillId="9" borderId="6" xfId="0" quotePrefix="1" applyNumberFormat="1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23" fillId="9" borderId="0" xfId="0" applyFont="1" applyFill="1" applyAlignment="1">
      <alignment horizontal="left"/>
    </xf>
    <xf numFmtId="37" fontId="23" fillId="9" borderId="0" xfId="0" applyNumberFormat="1" applyFont="1" applyFill="1" applyAlignment="1">
      <alignment horizontal="center"/>
    </xf>
    <xf numFmtId="37" fontId="23" fillId="9" borderId="0" xfId="0" quotePrefix="1" applyNumberFormat="1" applyFont="1" applyFill="1" applyAlignment="1">
      <alignment horizontal="center"/>
    </xf>
    <xf numFmtId="0" fontId="23" fillId="9" borderId="1" xfId="0" applyFont="1" applyFill="1" applyBorder="1"/>
    <xf numFmtId="37" fontId="23" fillId="9" borderId="1" xfId="0" applyNumberFormat="1" applyFont="1" applyFill="1" applyBorder="1" applyAlignment="1">
      <alignment horizontal="center"/>
    </xf>
    <xf numFmtId="14" fontId="24" fillId="9" borderId="0" xfId="0" quotePrefix="1" applyNumberFormat="1" applyFont="1" applyFill="1" applyAlignment="1">
      <alignment horizontal="left" vertical="center"/>
    </xf>
    <xf numFmtId="166" fontId="24" fillId="9" borderId="0" xfId="2" applyNumberFormat="1" applyFont="1" applyFill="1" applyAlignment="1" applyProtection="1">
      <alignment vertical="center"/>
      <protection locked="0"/>
    </xf>
    <xf numFmtId="166" fontId="24" fillId="9" borderId="0" xfId="2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9" borderId="0" xfId="0" quotePrefix="1" applyFont="1" applyFill="1" applyAlignment="1">
      <alignment horizontal="left"/>
    </xf>
    <xf numFmtId="166" fontId="24" fillId="9" borderId="0" xfId="2" applyNumberFormat="1" applyFont="1" applyFill="1" applyAlignment="1">
      <alignment horizontal="center"/>
    </xf>
    <xf numFmtId="166" fontId="24" fillId="9" borderId="0" xfId="2" applyNumberFormat="1" applyFont="1" applyFill="1"/>
    <xf numFmtId="166" fontId="25" fillId="9" borderId="0" xfId="2" applyNumberFormat="1" applyFont="1" applyFill="1" applyProtection="1">
      <protection locked="0"/>
    </xf>
    <xf numFmtId="0" fontId="24" fillId="9" borderId="0" xfId="0" applyFont="1" applyFill="1" applyAlignment="1">
      <alignment horizontal="left"/>
    </xf>
    <xf numFmtId="166" fontId="25" fillId="9" borderId="0" xfId="2" applyNumberFormat="1" applyFont="1" applyFill="1" applyAlignment="1" applyProtection="1">
      <alignment horizontal="center"/>
      <protection locked="0"/>
    </xf>
    <xf numFmtId="166" fontId="24" fillId="9" borderId="0" xfId="2" quotePrefix="1" applyNumberFormat="1" applyFont="1" applyFill="1" applyAlignment="1">
      <alignment horizontal="center"/>
    </xf>
    <xf numFmtId="166" fontId="25" fillId="9" borderId="0" xfId="2" applyNumberFormat="1" applyFont="1" applyFill="1" applyAlignment="1" applyProtection="1">
      <alignment vertical="center"/>
      <protection locked="0"/>
    </xf>
    <xf numFmtId="166" fontId="24" fillId="9" borderId="0" xfId="2" applyNumberFormat="1" applyFont="1" applyFill="1" applyAlignment="1">
      <alignment horizontal="center" vertical="center"/>
    </xf>
    <xf numFmtId="0" fontId="24" fillId="3" borderId="2" xfId="0" quotePrefix="1" applyFont="1" applyFill="1" applyBorder="1" applyAlignment="1">
      <alignment horizontal="left" vertical="center"/>
    </xf>
    <xf numFmtId="166" fontId="24" fillId="3" borderId="2" xfId="2" applyNumberFormat="1" applyFont="1" applyFill="1" applyBorder="1" applyAlignment="1">
      <alignment vertical="center"/>
    </xf>
    <xf numFmtId="0" fontId="24" fillId="9" borderId="0" xfId="0" applyFont="1" applyFill="1" applyAlignment="1">
      <alignment horizontal="fill"/>
    </xf>
    <xf numFmtId="166" fontId="26" fillId="9" borderId="0" xfId="2" applyNumberFormat="1" applyFont="1" applyFill="1" applyAlignment="1">
      <alignment horizontal="fill"/>
    </xf>
    <xf numFmtId="0" fontId="24" fillId="9" borderId="0" xfId="0" applyFont="1" applyFill="1"/>
    <xf numFmtId="0" fontId="24" fillId="2" borderId="0" xfId="0" applyFont="1" applyFill="1" applyAlignment="1">
      <alignment horizontal="left"/>
    </xf>
    <xf numFmtId="166" fontId="24" fillId="2" borderId="0" xfId="2" applyNumberFormat="1" applyFont="1" applyFill="1"/>
    <xf numFmtId="0" fontId="24" fillId="2" borderId="15" xfId="0" applyFont="1" applyFill="1" applyBorder="1"/>
    <xf numFmtId="166" fontId="24" fillId="2" borderId="15" xfId="2" applyNumberFormat="1" applyFont="1" applyFill="1" applyBorder="1"/>
    <xf numFmtId="37" fontId="23" fillId="2" borderId="0" xfId="0" applyNumberFormat="1" applyFont="1" applyFill="1" applyAlignment="1"/>
    <xf numFmtId="0" fontId="24" fillId="2" borderId="0" xfId="0" applyFont="1" applyFill="1"/>
    <xf numFmtId="166" fontId="24" fillId="2" borderId="0" xfId="0" applyNumberFormat="1" applyFont="1" applyFill="1"/>
    <xf numFmtId="0" fontId="27" fillId="2" borderId="0" xfId="0" applyFont="1" applyFill="1" applyAlignment="1">
      <alignment horizontal="right"/>
    </xf>
    <xf numFmtId="164" fontId="24" fillId="0" borderId="0" xfId="2" applyFont="1"/>
    <xf numFmtId="0" fontId="23" fillId="9" borderId="0" xfId="1" applyFont="1" applyFill="1" applyBorder="1" applyAlignment="1">
      <alignment vertical="center"/>
    </xf>
    <xf numFmtId="166" fontId="24" fillId="9" borderId="0" xfId="2" applyNumberFormat="1" applyFont="1" applyFill="1" applyBorder="1" applyAlignment="1">
      <alignment horizontal="center"/>
    </xf>
    <xf numFmtId="165" fontId="23" fillId="9" borderId="14" xfId="1" applyNumberFormat="1" applyFont="1" applyFill="1" applyBorder="1" applyAlignment="1">
      <alignment horizontal="left" vertical="center"/>
    </xf>
    <xf numFmtId="167" fontId="23" fillId="9" borderId="14" xfId="2" applyNumberFormat="1" applyFont="1" applyFill="1" applyBorder="1" applyAlignment="1" applyProtection="1">
      <alignment horizontal="right" vertical="center"/>
    </xf>
    <xf numFmtId="165" fontId="24" fillId="2" borderId="0" xfId="2" applyNumberFormat="1" applyFont="1" applyFill="1"/>
    <xf numFmtId="165" fontId="23" fillId="2" borderId="0" xfId="2" applyNumberFormat="1" applyFont="1" applyFill="1"/>
    <xf numFmtId="166" fontId="23" fillId="2" borderId="0" xfId="2" applyNumberFormat="1" applyFont="1" applyFill="1"/>
    <xf numFmtId="164" fontId="23" fillId="0" borderId="0" xfId="2" applyFont="1"/>
    <xf numFmtId="166" fontId="24" fillId="8" borderId="0" xfId="2" applyNumberFormat="1" applyFont="1" applyFill="1"/>
    <xf numFmtId="165" fontId="24" fillId="8" borderId="0" xfId="2" applyNumberFormat="1" applyFont="1" applyFill="1"/>
    <xf numFmtId="166" fontId="24" fillId="8" borderId="15" xfId="2" applyNumberFormat="1" applyFont="1" applyFill="1" applyBorder="1"/>
    <xf numFmtId="166" fontId="23" fillId="8" borderId="16" xfId="2" applyNumberFormat="1" applyFont="1" applyFill="1" applyBorder="1"/>
    <xf numFmtId="166" fontId="25" fillId="8" borderId="0" xfId="2" applyNumberFormat="1" applyFont="1" applyFill="1"/>
    <xf numFmtId="166" fontId="23" fillId="8" borderId="0" xfId="2" applyNumberFormat="1" applyFont="1" applyFill="1"/>
    <xf numFmtId="165" fontId="23" fillId="0" borderId="0" xfId="2" applyNumberFormat="1" applyFont="1" applyFill="1"/>
    <xf numFmtId="166" fontId="23" fillId="0" borderId="15" xfId="2" applyNumberFormat="1" applyFont="1" applyFill="1" applyBorder="1"/>
    <xf numFmtId="166" fontId="23" fillId="0" borderId="0" xfId="2" applyNumberFormat="1" applyFont="1" applyFill="1"/>
    <xf numFmtId="165" fontId="24" fillId="2" borderId="15" xfId="2" applyNumberFormat="1" applyFont="1" applyFill="1" applyBorder="1"/>
    <xf numFmtId="164" fontId="23" fillId="9" borderId="0" xfId="2" applyFont="1" applyFill="1" applyAlignment="1"/>
    <xf numFmtId="164" fontId="23" fillId="9" borderId="0" xfId="2" applyFont="1" applyFill="1" applyAlignment="1">
      <alignment horizontal="right"/>
    </xf>
    <xf numFmtId="165" fontId="24" fillId="0" borderId="0" xfId="2" applyNumberFormat="1" applyFont="1"/>
    <xf numFmtId="166" fontId="24" fillId="0" borderId="0" xfId="2" applyNumberFormat="1" applyFont="1"/>
    <xf numFmtId="0" fontId="23" fillId="9" borderId="0" xfId="0" quotePrefix="1" applyFont="1" applyFill="1" applyBorder="1" applyAlignment="1">
      <alignment vertical="center"/>
    </xf>
    <xf numFmtId="0" fontId="28" fillId="9" borderId="0" xfId="0" applyFont="1" applyFill="1" applyBorder="1" applyAlignment="1">
      <alignment horizontal="left" vertical="center"/>
    </xf>
    <xf numFmtId="0" fontId="23" fillId="9" borderId="14" xfId="0" quotePrefix="1" applyFont="1" applyFill="1" applyBorder="1" applyAlignment="1">
      <alignment horizontal="left" vertical="center"/>
    </xf>
    <xf numFmtId="164" fontId="24" fillId="2" borderId="0" xfId="2" applyFont="1" applyFill="1" applyBorder="1" applyProtection="1"/>
    <xf numFmtId="0" fontId="23" fillId="2" borderId="0" xfId="0" quotePrefix="1" applyFont="1" applyFill="1" applyAlignment="1">
      <alignment horizontal="left" vertical="center"/>
    </xf>
    <xf numFmtId="166" fontId="23" fillId="2" borderId="0" xfId="2" applyNumberFormat="1" applyFont="1" applyFill="1" applyBorder="1" applyAlignment="1" applyProtection="1">
      <alignment vertical="center"/>
    </xf>
    <xf numFmtId="166" fontId="24" fillId="2" borderId="0" xfId="2" applyNumberFormat="1" applyFont="1" applyFill="1" applyBorder="1" applyAlignment="1" applyProtection="1">
      <alignment vertical="center"/>
    </xf>
    <xf numFmtId="0" fontId="24" fillId="2" borderId="0" xfId="0" applyFont="1" applyFill="1" applyAlignment="1">
      <alignment vertical="center"/>
    </xf>
    <xf numFmtId="166" fontId="29" fillId="2" borderId="15" xfId="2" applyNumberFormat="1" applyFont="1" applyFill="1" applyBorder="1"/>
    <xf numFmtId="0" fontId="23" fillId="9" borderId="15" xfId="0" quotePrefix="1" applyFont="1" applyFill="1" applyBorder="1" applyAlignment="1">
      <alignment horizontal="left" vertical="center"/>
    </xf>
    <xf numFmtId="166" fontId="23" fillId="9" borderId="15" xfId="2" applyNumberFormat="1" applyFont="1" applyFill="1" applyBorder="1" applyAlignment="1" applyProtection="1">
      <alignment vertical="center"/>
    </xf>
    <xf numFmtId="0" fontId="23" fillId="8" borderId="0" xfId="0" quotePrefix="1" applyFont="1" applyFill="1" applyAlignment="1">
      <alignment horizontal="left" vertical="center"/>
    </xf>
    <xf numFmtId="166" fontId="23" fillId="8" borderId="0" xfId="2" applyNumberFormat="1" applyFont="1" applyFill="1" applyBorder="1" applyAlignment="1" applyProtection="1">
      <alignment vertical="center"/>
    </xf>
    <xf numFmtId="0" fontId="24" fillId="9" borderId="0" xfId="0" applyFont="1" applyFill="1" applyBorder="1" applyAlignment="1" applyProtection="1">
      <alignment vertical="center"/>
    </xf>
    <xf numFmtId="0" fontId="24" fillId="9" borderId="0" xfId="0" applyFont="1" applyFill="1" applyBorder="1" applyAlignment="1">
      <alignment horizontal="center"/>
    </xf>
    <xf numFmtId="167" fontId="23" fillId="9" borderId="14" xfId="2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fill"/>
    </xf>
    <xf numFmtId="166" fontId="24" fillId="2" borderId="0" xfId="2" applyNumberFormat="1" applyFont="1" applyFill="1" applyBorder="1" applyAlignment="1" applyProtection="1">
      <alignment horizontal="fill"/>
    </xf>
    <xf numFmtId="0" fontId="23" fillId="2" borderId="0" xfId="0" applyFont="1" applyFill="1" applyBorder="1" applyProtection="1"/>
    <xf numFmtId="0" fontId="24" fillId="2" borderId="0" xfId="0" applyFont="1" applyFill="1" applyBorder="1"/>
    <xf numFmtId="166" fontId="23" fillId="2" borderId="15" xfId="2" applyNumberFormat="1" applyFont="1" applyFill="1" applyBorder="1" applyProtection="1"/>
    <xf numFmtId="0" fontId="24" fillId="2" borderId="0" xfId="0" applyFont="1" applyFill="1" applyBorder="1" applyProtection="1"/>
    <xf numFmtId="166" fontId="24" fillId="2" borderId="0" xfId="2" applyNumberFormat="1" applyFont="1" applyFill="1" applyBorder="1" applyProtection="1"/>
    <xf numFmtId="0" fontId="23" fillId="2" borderId="0" xfId="0" applyFont="1" applyFill="1" applyAlignment="1">
      <alignment horizontal="center"/>
    </xf>
    <xf numFmtId="0" fontId="23" fillId="9" borderId="14" xfId="0" applyFont="1" applyFill="1" applyBorder="1" applyAlignment="1">
      <alignment vertical="center"/>
    </xf>
    <xf numFmtId="0" fontId="24" fillId="9" borderId="14" xfId="0" applyFont="1" applyFill="1" applyBorder="1" applyAlignment="1">
      <alignment vertical="center"/>
    </xf>
    <xf numFmtId="166" fontId="23" fillId="9" borderId="14" xfId="2" applyNumberFormat="1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left"/>
    </xf>
    <xf numFmtId="0" fontId="23" fillId="2" borderId="0" xfId="0" applyFont="1" applyFill="1" applyBorder="1"/>
    <xf numFmtId="166" fontId="23" fillId="2" borderId="0" xfId="2" applyNumberFormat="1" applyFont="1" applyFill="1" applyProtection="1">
      <protection locked="0"/>
    </xf>
    <xf numFmtId="0" fontId="23" fillId="2" borderId="0" xfId="0" quotePrefix="1" applyFont="1" applyFill="1" applyBorder="1" applyAlignment="1" applyProtection="1">
      <alignment horizontal="left"/>
    </xf>
    <xf numFmtId="39" fontId="23" fillId="2" borderId="0" xfId="0" applyNumberFormat="1" applyFont="1" applyFill="1" applyBorder="1" applyProtection="1"/>
    <xf numFmtId="0" fontId="26" fillId="2" borderId="0" xfId="0" applyFont="1" applyFill="1" applyBorder="1" applyProtection="1"/>
    <xf numFmtId="0" fontId="24" fillId="9" borderId="0" xfId="0" applyFont="1" applyFill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37" fontId="23" fillId="9" borderId="14" xfId="0" quotePrefix="1" applyNumberFormat="1" applyFont="1" applyFill="1" applyBorder="1" applyAlignment="1" applyProtection="1">
      <alignment horizontal="center" vertical="center"/>
    </xf>
    <xf numFmtId="166" fontId="23" fillId="2" borderId="15" xfId="2" quotePrefix="1" applyNumberFormat="1" applyFont="1" applyFill="1" applyBorder="1" applyAlignment="1" applyProtection="1">
      <alignment horizontal="left"/>
    </xf>
    <xf numFmtId="166" fontId="24" fillId="2" borderId="0" xfId="2" quotePrefix="1" applyNumberFormat="1" applyFont="1" applyFill="1" applyBorder="1" applyAlignment="1" applyProtection="1">
      <alignment horizontal="left"/>
    </xf>
    <xf numFmtId="166" fontId="24" fillId="8" borderId="0" xfId="2" applyNumberFormat="1" applyFont="1" applyFill="1" applyBorder="1" applyProtection="1"/>
    <xf numFmtId="166" fontId="24" fillId="2" borderId="0" xfId="0" applyNumberFormat="1" applyFont="1" applyFill="1" applyBorder="1"/>
    <xf numFmtId="166" fontId="24" fillId="2" borderId="0" xfId="2" applyNumberFormat="1" applyFont="1" applyFill="1" applyBorder="1"/>
    <xf numFmtId="37" fontId="24" fillId="2" borderId="0" xfId="0" applyNumberFormat="1" applyFont="1" applyFill="1" applyBorder="1" applyProtection="1"/>
    <xf numFmtId="37" fontId="26" fillId="2" borderId="0" xfId="0" applyNumberFormat="1" applyFont="1" applyFill="1" applyBorder="1" applyProtection="1"/>
    <xf numFmtId="37" fontId="24" fillId="2" borderId="15" xfId="0" applyNumberFormat="1" applyFont="1" applyFill="1" applyBorder="1" applyProtection="1"/>
    <xf numFmtId="37" fontId="27" fillId="0" borderId="0" xfId="0" applyNumberFormat="1" applyFont="1" applyAlignment="1">
      <alignment horizontal="right"/>
    </xf>
    <xf numFmtId="37" fontId="26" fillId="2" borderId="0" xfId="0" applyNumberFormat="1" applyFont="1" applyFill="1" applyAlignment="1" applyProtection="1">
      <alignment horizontal="center"/>
    </xf>
    <xf numFmtId="0" fontId="24" fillId="0" borderId="0" xfId="0" applyFont="1" applyAlignment="1"/>
    <xf numFmtId="0" fontId="24" fillId="9" borderId="0" xfId="0" applyFont="1" applyFill="1" applyBorder="1" applyAlignment="1">
      <alignment horizontal="left"/>
    </xf>
    <xf numFmtId="0" fontId="23" fillId="9" borderId="14" xfId="0" quotePrefix="1" applyFont="1" applyFill="1" applyBorder="1" applyAlignment="1">
      <alignment horizontal="center" vertical="center"/>
    </xf>
    <xf numFmtId="166" fontId="24" fillId="2" borderId="12" xfId="2" applyNumberFormat="1" applyFont="1" applyFill="1" applyBorder="1"/>
    <xf numFmtId="166" fontId="24" fillId="2" borderId="0" xfId="2" quotePrefix="1" applyNumberFormat="1" applyFont="1" applyFill="1" applyAlignment="1">
      <alignment horizontal="left"/>
    </xf>
    <xf numFmtId="166" fontId="30" fillId="8" borderId="0" xfId="2" applyNumberFormat="1" applyFont="1" applyFill="1"/>
    <xf numFmtId="166" fontId="23" fillId="2" borderId="0" xfId="2" quotePrefix="1" applyNumberFormat="1" applyFont="1" applyFill="1" applyBorder="1" applyAlignment="1" applyProtection="1">
      <alignment horizontal="left"/>
    </xf>
    <xf numFmtId="166" fontId="25" fillId="2" borderId="0" xfId="2" applyNumberFormat="1" applyFont="1" applyFill="1" applyBorder="1" applyProtection="1">
      <protection locked="0"/>
    </xf>
    <xf numFmtId="166" fontId="25" fillId="8" borderId="0" xfId="2" applyNumberFormat="1" applyFont="1" applyFill="1" applyBorder="1" applyProtection="1">
      <protection locked="0"/>
    </xf>
    <xf numFmtId="166" fontId="23" fillId="9" borderId="12" xfId="2" quotePrefix="1" applyNumberFormat="1" applyFont="1" applyFill="1" applyBorder="1" applyAlignment="1" applyProtection="1">
      <alignment horizontal="left" vertical="center"/>
    </xf>
    <xf numFmtId="166" fontId="23" fillId="9" borderId="2" xfId="2" applyNumberFormat="1" applyFont="1" applyFill="1" applyBorder="1" applyAlignment="1" applyProtection="1">
      <alignment vertical="center"/>
    </xf>
    <xf numFmtId="0" fontId="24" fillId="2" borderId="12" xfId="0" quotePrefix="1" applyFont="1" applyFill="1" applyBorder="1" applyAlignment="1" applyProtection="1">
      <alignment horizontal="left"/>
    </xf>
    <xf numFmtId="0" fontId="24" fillId="2" borderId="15" xfId="0" quotePrefix="1" applyFont="1" applyFill="1" applyBorder="1" applyAlignment="1" applyProtection="1">
      <alignment horizontal="left"/>
    </xf>
    <xf numFmtId="0" fontId="24" fillId="0" borderId="0" xfId="0" applyFont="1" applyFill="1"/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justify" vertical="center" wrapText="1"/>
    </xf>
    <xf numFmtId="166" fontId="22" fillId="0" borderId="0" xfId="2" applyNumberFormat="1" applyFont="1" applyAlignment="1">
      <alignment horizontal="right" vertical="center" wrapText="1"/>
    </xf>
    <xf numFmtId="166" fontId="22" fillId="0" borderId="0" xfId="2" applyNumberFormat="1" applyFont="1" applyAlignment="1">
      <alignment horizontal="right" vertical="center"/>
    </xf>
    <xf numFmtId="166" fontId="21" fillId="0" borderId="18" xfId="2" applyNumberFormat="1" applyFont="1" applyBorder="1" applyAlignment="1">
      <alignment horizontal="right" vertical="center" wrapText="1"/>
    </xf>
    <xf numFmtId="0" fontId="24" fillId="9" borderId="14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/>
    </xf>
    <xf numFmtId="0" fontId="24" fillId="9" borderId="13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1" fillId="0" borderId="0" xfId="0" applyFont="1"/>
    <xf numFmtId="0" fontId="32" fillId="0" borderId="0" xfId="0" applyFont="1" applyAlignment="1">
      <alignment vertical="center"/>
    </xf>
    <xf numFmtId="166" fontId="32" fillId="0" borderId="0" xfId="2" applyNumberFormat="1" applyFont="1" applyAlignment="1">
      <alignment horizontal="right" vertical="center"/>
    </xf>
    <xf numFmtId="166" fontId="22" fillId="0" borderId="0" xfId="0" applyNumberFormat="1" applyFont="1"/>
    <xf numFmtId="0" fontId="22" fillId="0" borderId="0" xfId="0" applyFont="1" applyAlignment="1">
      <alignment vertical="center"/>
    </xf>
    <xf numFmtId="166" fontId="22" fillId="0" borderId="0" xfId="8" applyNumberFormat="1" applyFont="1" applyAlignment="1">
      <alignment horizontal="right" vertical="center"/>
    </xf>
    <xf numFmtId="166" fontId="22" fillId="0" borderId="0" xfId="8" applyNumberFormat="1" applyFont="1"/>
    <xf numFmtId="166" fontId="22" fillId="0" borderId="0" xfId="8" applyNumberFormat="1" applyFont="1" applyAlignment="1">
      <alignment vertical="center"/>
    </xf>
    <xf numFmtId="166" fontId="22" fillId="0" borderId="0" xfId="8" applyNumberFormat="1" applyFont="1" applyAlignment="1">
      <alignment horizontal="right" vertical="center" wrapText="1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wrapText="1"/>
    </xf>
    <xf numFmtId="166" fontId="22" fillId="0" borderId="0" xfId="0" applyNumberFormat="1" applyFont="1" applyAlignment="1">
      <alignment horizontal="right" vertical="center"/>
    </xf>
    <xf numFmtId="166" fontId="33" fillId="0" borderId="0" xfId="8" applyNumberFormat="1" applyFont="1" applyAlignment="1">
      <alignment horizontal="right" vertical="center"/>
    </xf>
    <xf numFmtId="14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4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14" fontId="33" fillId="0" borderId="0" xfId="0" applyNumberFormat="1" applyFont="1" applyAlignment="1">
      <alignment horizontal="right" vertical="center" wrapText="1"/>
    </xf>
    <xf numFmtId="0" fontId="22" fillId="0" borderId="0" xfId="0" applyFont="1" applyAlignment="1"/>
    <xf numFmtId="0" fontId="0" fillId="0" borderId="0" xfId="0" applyAlignment="1"/>
    <xf numFmtId="166" fontId="32" fillId="0" borderId="0" xfId="2" applyNumberFormat="1" applyFont="1" applyAlignment="1">
      <alignment vertical="center"/>
    </xf>
    <xf numFmtId="166" fontId="31" fillId="0" borderId="19" xfId="2" applyNumberFormat="1" applyFont="1" applyBorder="1" applyAlignment="1">
      <alignment vertical="center"/>
    </xf>
    <xf numFmtId="166" fontId="0" fillId="0" borderId="0" xfId="2" applyNumberFormat="1" applyFont="1" applyAlignment="1"/>
    <xf numFmtId="166" fontId="31" fillId="0" borderId="0" xfId="2" applyNumberFormat="1" applyFont="1" applyAlignment="1">
      <alignment vertical="center"/>
    </xf>
    <xf numFmtId="166" fontId="22" fillId="0" borderId="0" xfId="2" applyNumberFormat="1" applyFont="1" applyAlignment="1"/>
    <xf numFmtId="0" fontId="22" fillId="0" borderId="0" xfId="0" applyFont="1" applyAlignment="1">
      <alignment vertical="center"/>
    </xf>
    <xf numFmtId="0" fontId="22" fillId="0" borderId="0" xfId="0" quotePrefix="1" applyFont="1"/>
    <xf numFmtId="0" fontId="31" fillId="1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0" xfId="0" applyFont="1" applyBorder="1" applyAlignment="1">
      <alignment horizontal="justify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vertical="center"/>
    </xf>
    <xf numFmtId="10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31" fillId="0" borderId="17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166" fontId="31" fillId="0" borderId="0" xfId="2" applyNumberFormat="1" applyFont="1" applyAlignment="1">
      <alignment horizontal="right" vertical="center"/>
    </xf>
    <xf numFmtId="166" fontId="22" fillId="0" borderId="0" xfId="2" applyNumberFormat="1" applyFont="1" applyAlignment="1">
      <alignment vertical="center"/>
    </xf>
    <xf numFmtId="166" fontId="32" fillId="0" borderId="17" xfId="2" applyNumberFormat="1" applyFont="1" applyBorder="1" applyAlignment="1">
      <alignment horizontal="right" vertical="center"/>
    </xf>
    <xf numFmtId="166" fontId="31" fillId="0" borderId="19" xfId="2" applyNumberFormat="1" applyFont="1" applyBorder="1" applyAlignment="1">
      <alignment horizontal="right" vertical="center"/>
    </xf>
    <xf numFmtId="166" fontId="21" fillId="0" borderId="0" xfId="0" applyNumberFormat="1" applyFont="1" applyAlignment="1">
      <alignment horizontal="justify" vertical="center"/>
    </xf>
    <xf numFmtId="0" fontId="22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166" fontId="32" fillId="0" borderId="0" xfId="2" applyNumberFormat="1" applyFont="1" applyAlignment="1">
      <alignment horizontal="right" vertical="center" wrapText="1"/>
    </xf>
    <xf numFmtId="0" fontId="22" fillId="0" borderId="0" xfId="0" applyFont="1" applyAlignment="1">
      <alignment horizontal="justify" vertical="center"/>
    </xf>
    <xf numFmtId="3" fontId="22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/>
    </xf>
    <xf numFmtId="0" fontId="36" fillId="0" borderId="0" xfId="0" applyFont="1"/>
    <xf numFmtId="0" fontId="36" fillId="0" borderId="0" xfId="0" applyFont="1" applyAlignment="1">
      <alignment vertical="center"/>
    </xf>
    <xf numFmtId="3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3" fontId="36" fillId="0" borderId="0" xfId="0" applyNumberFormat="1" applyFont="1" applyAlignment="1">
      <alignment vertical="center"/>
    </xf>
    <xf numFmtId="166" fontId="24" fillId="0" borderId="0" xfId="0" applyNumberFormat="1" applyFont="1"/>
    <xf numFmtId="37" fontId="23" fillId="0" borderId="0" xfId="0" applyNumberFormat="1" applyFont="1" applyAlignment="1">
      <alignment horizontal="left"/>
    </xf>
    <xf numFmtId="37" fontId="23" fillId="0" borderId="0" xfId="0" applyNumberFormat="1" applyFont="1" applyAlignment="1"/>
    <xf numFmtId="166" fontId="23" fillId="0" borderId="0" xfId="2" applyNumberFormat="1" applyFont="1"/>
    <xf numFmtId="14" fontId="33" fillId="0" borderId="17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3" fontId="24" fillId="0" borderId="0" xfId="0" applyNumberFormat="1" applyFont="1"/>
    <xf numFmtId="0" fontId="33" fillId="0" borderId="0" xfId="0" applyFont="1" applyAlignment="1">
      <alignment vertical="center" wrapText="1"/>
    </xf>
    <xf numFmtId="164" fontId="22" fillId="0" borderId="0" xfId="2" applyFont="1"/>
    <xf numFmtId="164" fontId="22" fillId="0" borderId="0" xfId="0" applyNumberFormat="1" applyFont="1"/>
    <xf numFmtId="0" fontId="37" fillId="0" borderId="0" xfId="0" applyFont="1" applyAlignment="1">
      <alignment horizontal="justify" vertical="center"/>
    </xf>
    <xf numFmtId="166" fontId="24" fillId="0" borderId="0" xfId="0" applyNumberFormat="1" applyFont="1" applyAlignment="1">
      <alignment vertical="center"/>
    </xf>
    <xf numFmtId="0" fontId="23" fillId="2" borderId="0" xfId="0" applyFont="1" applyFill="1"/>
    <xf numFmtId="166" fontId="23" fillId="8" borderId="14" xfId="2" applyNumberFormat="1" applyFont="1" applyFill="1" applyBorder="1"/>
    <xf numFmtId="0" fontId="24" fillId="9" borderId="14" xfId="0" applyFont="1" applyFill="1" applyBorder="1" applyAlignment="1">
      <alignment horizontal="center" vertical="center" wrapText="1" shrinkToFit="1"/>
    </xf>
    <xf numFmtId="49" fontId="23" fillId="9" borderId="14" xfId="2" applyNumberFormat="1" applyFont="1" applyFill="1" applyBorder="1" applyAlignment="1" applyProtection="1">
      <alignment horizontal="right" vertical="center"/>
    </xf>
    <xf numFmtId="49" fontId="23" fillId="9" borderId="14" xfId="0" quotePrefix="1" applyNumberFormat="1" applyFont="1" applyFill="1" applyBorder="1" applyAlignment="1" applyProtection="1">
      <alignment horizontal="right" vertical="center"/>
    </xf>
    <xf numFmtId="166" fontId="38" fillId="8" borderId="0" xfId="2" applyNumberFormat="1" applyFont="1" applyFill="1" applyProtection="1">
      <protection locked="0"/>
    </xf>
    <xf numFmtId="164" fontId="23" fillId="2" borderId="0" xfId="2" applyFont="1" applyFill="1" applyBorder="1" applyProtection="1"/>
    <xf numFmtId="0" fontId="21" fillId="10" borderId="0" xfId="0" applyFont="1" applyFill="1" applyAlignment="1">
      <alignment vertical="center"/>
    </xf>
    <xf numFmtId="0" fontId="21" fillId="10" borderId="17" xfId="0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33" fillId="0" borderId="19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14" fontId="33" fillId="0" borderId="17" xfId="0" applyNumberFormat="1" applyFont="1" applyBorder="1" applyAlignment="1">
      <alignment horizontal="center" vertical="center"/>
    </xf>
  </cellXfs>
  <cellStyles count="11">
    <cellStyle name="Normal" xfId="0" builtinId="0"/>
    <cellStyle name="Normal 2" xfId="3" xr:uid="{D57F3C51-038A-48C8-8BE6-B15568BF143D}"/>
    <cellStyle name="Normal 2 2" xfId="5" xr:uid="{017E7854-DB4A-489F-A523-3E34324F9164}"/>
    <cellStyle name="Normal 2 2 2" xfId="9" xr:uid="{50D13C58-5A4F-4222-990A-2EC6D334AC65}"/>
    <cellStyle name="Normal 2 3" xfId="6" xr:uid="{5D42D6CA-ECDF-413A-ADBE-A641ED82100F}"/>
    <cellStyle name="Normal 2 3 2" xfId="10" xr:uid="{52E6589C-A5D1-4B73-A56F-3967F4E2518B}"/>
    <cellStyle name="Normal 2 4" xfId="7" xr:uid="{F58AD2E8-3891-4936-9136-FA40ED12F703}"/>
    <cellStyle name="Normal_Ashmore_0806" xfId="1" xr:uid="{00000000-0005-0000-0000-000001000000}"/>
    <cellStyle name="Vírgula" xfId="2" builtinId="3"/>
    <cellStyle name="Vírgula 2" xfId="4" xr:uid="{FE245450-A4E4-4E17-98BA-701230572D1A}"/>
    <cellStyle name="Vírgula 2 2" xfId="8" xr:uid="{CD4A28BD-74C1-4325-9700-A4DD67249169}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94"/>
  <sheetViews>
    <sheetView showGridLines="0" topLeftCell="B1" zoomScale="90" zoomScaleNormal="90" workbookViewId="0">
      <selection activeCell="G36" sqref="G36"/>
    </sheetView>
  </sheetViews>
  <sheetFormatPr defaultColWidth="9.140625" defaultRowHeight="14.1" customHeight="1" x14ac:dyDescent="0.2"/>
  <cols>
    <col min="1" max="1" width="8.5703125" style="9" customWidth="1"/>
    <col min="2" max="2" width="36.42578125" style="9" customWidth="1"/>
    <col min="3" max="3" width="15.7109375" style="9" customWidth="1"/>
    <col min="4" max="9" width="12.42578125" style="48" customWidth="1"/>
    <col min="10" max="10" width="7" style="9" customWidth="1"/>
    <col min="11" max="11" width="5.28515625" style="9" customWidth="1"/>
    <col min="12" max="12" width="10" style="48" bestFit="1" customWidth="1"/>
    <col min="13" max="13" width="9.7109375" bestFit="1" customWidth="1"/>
    <col min="14" max="15" width="9.140625" style="48"/>
    <col min="16" max="16" width="10" style="48" bestFit="1" customWidth="1"/>
    <col min="17" max="17" width="5.28515625" style="9" customWidth="1"/>
    <col min="18" max="18" width="10" style="48" bestFit="1" customWidth="1"/>
    <col min="19" max="19" width="9.7109375" bestFit="1" customWidth="1"/>
    <col min="20" max="21" width="9.140625" style="48"/>
    <col min="22" max="22" width="10" style="48" bestFit="1" customWidth="1"/>
    <col min="23" max="23" width="2.7109375" style="48" customWidth="1"/>
    <col min="24" max="24" width="10" style="48" bestFit="1" customWidth="1"/>
    <col min="25" max="25" width="11" bestFit="1" customWidth="1"/>
    <col min="26" max="26" width="9.140625" style="48"/>
    <col min="27" max="27" width="10" style="48" bestFit="1" customWidth="1"/>
    <col min="28" max="28" width="3.85546875" customWidth="1"/>
    <col min="29" max="29" width="10" style="48" bestFit="1" customWidth="1"/>
    <col min="30" max="30" width="9.7109375" bestFit="1" customWidth="1"/>
    <col min="31" max="32" width="9.140625" style="48"/>
    <col min="33" max="33" width="10" style="48" bestFit="1" customWidth="1"/>
    <col min="34" max="34" width="5.28515625" style="9" customWidth="1"/>
    <col min="35" max="35" width="10" style="48" bestFit="1" customWidth="1"/>
    <col min="36" max="36" width="9.7109375" bestFit="1" customWidth="1"/>
    <col min="37" max="38" width="9.140625" style="48"/>
    <col min="39" max="39" width="10" style="48" bestFit="1" customWidth="1"/>
    <col min="40" max="40" width="2.7109375" style="48" customWidth="1"/>
    <col min="41" max="41" width="10" style="48" bestFit="1" customWidth="1"/>
    <col min="42" max="42" width="11" bestFit="1" customWidth="1"/>
    <col min="43" max="43" width="9.140625" style="48"/>
    <col min="44" max="44" width="10" style="48" bestFit="1" customWidth="1"/>
    <col min="45" max="16384" width="9.140625" style="9"/>
  </cols>
  <sheetData>
    <row r="1" spans="1:44" ht="14.1" customHeight="1" x14ac:dyDescent="0.2">
      <c r="A1" s="107"/>
      <c r="B1" s="107"/>
      <c r="C1" s="107"/>
      <c r="D1" s="108"/>
      <c r="E1" s="109"/>
      <c r="F1" s="109"/>
      <c r="G1" s="108"/>
      <c r="H1" s="110"/>
      <c r="I1" s="109"/>
      <c r="J1" s="107"/>
    </row>
    <row r="2" spans="1:44" ht="23.25" customHeight="1" x14ac:dyDescent="0.25">
      <c r="A2" s="5"/>
      <c r="B2" s="6" t="e">
        <f>+#REF!</f>
        <v>#REF!</v>
      </c>
      <c r="C2" s="6"/>
      <c r="D2" s="7"/>
      <c r="E2" s="7"/>
      <c r="F2" s="7"/>
      <c r="G2" s="7"/>
      <c r="H2" s="7"/>
      <c r="I2" s="34"/>
      <c r="J2" s="8"/>
    </row>
    <row r="3" spans="1:44" ht="14.1" customHeight="1" x14ac:dyDescent="0.25">
      <c r="A3" s="10"/>
      <c r="B3" s="11" t="e">
        <f>+#REF!</f>
        <v>#REF!</v>
      </c>
      <c r="C3" s="11"/>
      <c r="D3" s="12"/>
      <c r="E3" s="12"/>
      <c r="F3" s="12"/>
      <c r="G3" s="12"/>
      <c r="H3" s="12"/>
      <c r="I3" s="35"/>
      <c r="J3" s="13"/>
    </row>
    <row r="4" spans="1:44" ht="14.1" customHeight="1" x14ac:dyDescent="0.2">
      <c r="A4" s="14"/>
      <c r="B4" s="15"/>
      <c r="C4" s="15"/>
      <c r="D4" s="16"/>
      <c r="E4" s="16"/>
      <c r="F4" s="16"/>
      <c r="G4" s="16"/>
      <c r="H4" s="16"/>
      <c r="I4" s="36"/>
      <c r="J4" s="17" t="e">
        <f>+'Result(P)'!#REF!</f>
        <v>#REF!</v>
      </c>
    </row>
    <row r="5" spans="1:44" ht="14.1" customHeight="1" x14ac:dyDescent="0.2">
      <c r="A5" s="18"/>
      <c r="B5" s="18"/>
      <c r="C5" s="18"/>
      <c r="D5" s="19"/>
      <c r="E5" s="19"/>
      <c r="F5" s="19"/>
      <c r="G5" s="19"/>
      <c r="H5" s="19"/>
      <c r="I5" s="19"/>
      <c r="J5" s="18"/>
    </row>
    <row r="6" spans="1:44" ht="14.1" customHeight="1" x14ac:dyDescent="0.2">
      <c r="A6" s="18"/>
      <c r="B6" s="18"/>
      <c r="C6" s="18"/>
      <c r="D6" s="19"/>
      <c r="E6" s="19"/>
      <c r="F6" s="19"/>
      <c r="G6" s="19"/>
      <c r="H6" s="19"/>
      <c r="I6" s="19"/>
      <c r="J6" s="18"/>
      <c r="L6" s="60" t="s">
        <v>73</v>
      </c>
      <c r="M6" s="61" t="s">
        <v>95</v>
      </c>
      <c r="N6" s="62" t="s">
        <v>78</v>
      </c>
      <c r="O6" s="62"/>
      <c r="P6" s="63" t="s">
        <v>72</v>
      </c>
      <c r="R6" s="60" t="s">
        <v>73</v>
      </c>
      <c r="S6" s="61" t="str">
        <f>+M6</f>
        <v>DFCi/Mut</v>
      </c>
      <c r="T6" s="62" t="s">
        <v>78</v>
      </c>
      <c r="U6" s="62"/>
      <c r="V6" s="63" t="s">
        <v>72</v>
      </c>
      <c r="X6" s="60" t="str">
        <f>+R6</f>
        <v>Result</v>
      </c>
      <c r="Y6" s="61" t="str">
        <f>+S6</f>
        <v>DFCi/Mut</v>
      </c>
      <c r="Z6" s="62" t="str">
        <f>+T6</f>
        <v>Balanço</v>
      </c>
      <c r="AA6" s="63" t="s">
        <v>72</v>
      </c>
      <c r="AC6" s="60" t="s">
        <v>73</v>
      </c>
      <c r="AD6" s="61" t="s">
        <v>95</v>
      </c>
      <c r="AE6" s="62" t="s">
        <v>78</v>
      </c>
      <c r="AF6" s="62"/>
      <c r="AG6" s="63" t="s">
        <v>72</v>
      </c>
      <c r="AI6" s="60" t="s">
        <v>73</v>
      </c>
      <c r="AJ6" s="61" t="str">
        <f>+AD6</f>
        <v>DFCi/Mut</v>
      </c>
      <c r="AK6" s="62" t="s">
        <v>78</v>
      </c>
      <c r="AL6" s="62"/>
      <c r="AM6" s="63" t="s">
        <v>72</v>
      </c>
      <c r="AO6" s="60" t="str">
        <f>+AI6</f>
        <v>Result</v>
      </c>
      <c r="AP6" s="61" t="str">
        <f>+AJ6</f>
        <v>DFCi/Mut</v>
      </c>
      <c r="AQ6" s="62" t="str">
        <f>+AK6</f>
        <v>Balanço</v>
      </c>
      <c r="AR6" s="63" t="s">
        <v>72</v>
      </c>
    </row>
    <row r="7" spans="1:44" ht="14.1" customHeight="1" x14ac:dyDescent="0.35">
      <c r="A7" s="18"/>
      <c r="B7" s="37" t="s">
        <v>33</v>
      </c>
      <c r="C7" s="37"/>
      <c r="D7" s="38" t="e">
        <f>+#REF!</f>
        <v>#REF!</v>
      </c>
      <c r="E7" s="38" t="e">
        <f>+#REF!</f>
        <v>#REF!</v>
      </c>
      <c r="F7" s="38" t="e">
        <f>+#REF!</f>
        <v>#REF!</v>
      </c>
      <c r="G7" s="38" t="e">
        <f>+#REF!</f>
        <v>#REF!</v>
      </c>
      <c r="H7" s="38" t="e">
        <f>+#REF!</f>
        <v>#REF!</v>
      </c>
      <c r="I7" s="94" t="e">
        <f>+#REF!</f>
        <v>#REF!</v>
      </c>
      <c r="J7" s="18"/>
      <c r="L7" s="102" t="str">
        <f>+'Result(P)'!C6</f>
        <v>2021</v>
      </c>
      <c r="M7" s="65" t="e">
        <f>+#REF!</f>
        <v>#REF!</v>
      </c>
      <c r="N7" s="66" t="e">
        <f>+#REF!</f>
        <v>#REF!</v>
      </c>
      <c r="O7" s="67" t="e">
        <f>+#REF!</f>
        <v>#REF!</v>
      </c>
      <c r="P7" s="68"/>
      <c r="R7" s="102" t="str">
        <f>+'Result(P)'!D6</f>
        <v>2020</v>
      </c>
      <c r="S7" s="65" t="e">
        <f>+#REF!</f>
        <v>#REF!</v>
      </c>
      <c r="T7" s="66" t="e">
        <f>+#REF!</f>
        <v>#REF!</v>
      </c>
      <c r="U7" s="67" t="e">
        <f>+#REF!</f>
        <v>#REF!</v>
      </c>
      <c r="V7" s="68"/>
      <c r="X7" s="103">
        <f>+'Result(P)'!E6</f>
        <v>43830</v>
      </c>
      <c r="Y7" s="101" t="e">
        <f>+#REF!</f>
        <v>#REF!</v>
      </c>
      <c r="Z7" s="67" t="e">
        <f>+#REF!</f>
        <v>#REF!</v>
      </c>
      <c r="AA7" s="68"/>
      <c r="AC7" s="104" t="e">
        <f>+'Result(P)'!#REF!</f>
        <v>#REF!</v>
      </c>
      <c r="AD7" s="65" t="e">
        <f>+#REF!</f>
        <v>#REF!</v>
      </c>
      <c r="AE7" s="67" t="e">
        <f>+#REF!</f>
        <v>#REF!</v>
      </c>
      <c r="AF7" s="105" t="e">
        <f>+#REF!</f>
        <v>#REF!</v>
      </c>
      <c r="AG7" s="68"/>
      <c r="AI7" s="104" t="e">
        <f>+'Result(P)'!#REF!</f>
        <v>#REF!</v>
      </c>
      <c r="AJ7" s="65" t="e">
        <f>+#REF!</f>
        <v>#REF!</v>
      </c>
      <c r="AK7" s="67" t="e">
        <f>+#REF!</f>
        <v>#REF!</v>
      </c>
      <c r="AL7" s="105" t="e">
        <f>+#REF!</f>
        <v>#REF!</v>
      </c>
      <c r="AM7" s="68"/>
      <c r="AO7" s="104" t="e">
        <f>+'Result(P)'!#REF!</f>
        <v>#REF!</v>
      </c>
      <c r="AP7" s="106" t="e">
        <f>+#REF!</f>
        <v>#REF!</v>
      </c>
      <c r="AQ7" s="67" t="e">
        <f>+#REF!</f>
        <v>#REF!</v>
      </c>
      <c r="AR7" s="68"/>
    </row>
    <row r="8" spans="1:44" ht="14.1" customHeight="1" x14ac:dyDescent="0.2">
      <c r="A8" s="18"/>
      <c r="B8" s="18"/>
      <c r="C8" s="18"/>
      <c r="D8" s="39"/>
      <c r="E8" s="39"/>
      <c r="F8" s="39"/>
      <c r="G8" s="39"/>
      <c r="H8" s="39"/>
      <c r="I8" s="19"/>
      <c r="J8" s="18"/>
      <c r="L8" s="64"/>
      <c r="M8" s="69"/>
      <c r="N8" s="66"/>
      <c r="O8" s="66"/>
      <c r="P8" s="68"/>
      <c r="R8" s="64"/>
      <c r="S8" s="69"/>
      <c r="T8" s="66"/>
      <c r="U8" s="66"/>
      <c r="V8" s="68"/>
      <c r="X8" s="64"/>
      <c r="Y8" s="69"/>
      <c r="Z8" s="66"/>
      <c r="AA8" s="68"/>
      <c r="AC8" s="64"/>
      <c r="AD8" s="69"/>
      <c r="AE8" s="66"/>
      <c r="AF8" s="66"/>
      <c r="AG8" s="68"/>
      <c r="AI8" s="64"/>
      <c r="AJ8" s="69"/>
      <c r="AK8" s="66"/>
      <c r="AL8" s="66"/>
      <c r="AM8" s="68"/>
      <c r="AO8" s="64"/>
      <c r="AP8" s="69"/>
      <c r="AQ8" s="66"/>
      <c r="AR8" s="68"/>
    </row>
    <row r="9" spans="1:44" s="41" customFormat="1" ht="14.1" customHeight="1" x14ac:dyDescent="0.2">
      <c r="A9" s="21"/>
      <c r="B9" s="21" t="s">
        <v>26</v>
      </c>
      <c r="C9" s="21"/>
      <c r="D9" s="40"/>
      <c r="E9" s="40"/>
      <c r="F9" s="40"/>
      <c r="G9" s="40"/>
      <c r="H9" s="40"/>
      <c r="I9" s="40"/>
      <c r="J9" s="21"/>
      <c r="L9" s="70"/>
      <c r="M9" s="71"/>
      <c r="N9" s="72"/>
      <c r="O9" s="72"/>
      <c r="P9" s="73"/>
      <c r="R9" s="70"/>
      <c r="S9" s="71"/>
      <c r="T9" s="72"/>
      <c r="U9" s="72"/>
      <c r="V9" s="73"/>
      <c r="W9" s="55"/>
      <c r="X9" s="70"/>
      <c r="Y9" s="71"/>
      <c r="Z9" s="72"/>
      <c r="AA9" s="73"/>
      <c r="AC9" s="70"/>
      <c r="AD9" s="71"/>
      <c r="AE9" s="72"/>
      <c r="AF9" s="72"/>
      <c r="AG9" s="73"/>
      <c r="AI9" s="70"/>
      <c r="AJ9" s="71"/>
      <c r="AK9" s="72"/>
      <c r="AL9" s="72"/>
      <c r="AM9" s="73"/>
      <c r="AN9" s="55"/>
      <c r="AO9" s="70"/>
      <c r="AP9" s="71"/>
      <c r="AQ9" s="72"/>
      <c r="AR9" s="73"/>
    </row>
    <row r="10" spans="1:44" ht="14.1" customHeight="1" x14ac:dyDescent="0.2">
      <c r="A10" s="18"/>
      <c r="B10" s="18" t="s">
        <v>44</v>
      </c>
      <c r="C10" s="18"/>
      <c r="D10" s="19" t="e">
        <f t="shared" ref="D10:D17" si="0">+P10</f>
        <v>#REF!</v>
      </c>
      <c r="E10" s="19" t="e">
        <f>+V10</f>
        <v>#REF!</v>
      </c>
      <c r="F10" s="19" t="e">
        <f>+AA10</f>
        <v>#REF!</v>
      </c>
      <c r="G10" s="19" t="e">
        <f t="shared" ref="G10:G17" si="1">+AG10</f>
        <v>#REF!</v>
      </c>
      <c r="H10" s="19" t="e">
        <f t="shared" ref="H10:H17" si="2">+AM10</f>
        <v>#REF!</v>
      </c>
      <c r="I10" s="19" t="e">
        <f t="shared" ref="I10:I17" si="3">+AR10</f>
        <v>#REF!</v>
      </c>
      <c r="J10" s="18"/>
      <c r="L10" s="64">
        <f>+'Result(P)'!C25</f>
        <v>519.75554</v>
      </c>
      <c r="M10" s="74"/>
      <c r="N10" s="66" t="e">
        <f>+#REF!+#REF!</f>
        <v>#REF!</v>
      </c>
      <c r="O10" s="66" t="e">
        <f>+#REF!+#REF!</f>
        <v>#REF!</v>
      </c>
      <c r="P10" s="68" t="e">
        <f t="shared" ref="P10:P17" si="4">+L10+O10-N10+M10</f>
        <v>#REF!</v>
      </c>
      <c r="R10" s="64">
        <f>+'Result(P)'!D25</f>
        <v>-274.11734999999999</v>
      </c>
      <c r="S10" s="74"/>
      <c r="T10" s="66" t="e">
        <f>+#REF!+#REF!</f>
        <v>#REF!</v>
      </c>
      <c r="U10" s="66" t="e">
        <f>+#REF!+#REF!</f>
        <v>#REF!</v>
      </c>
      <c r="V10" s="68" t="e">
        <f t="shared" ref="V10:V17" si="5">+R10+U10-T10+S10</f>
        <v>#REF!</v>
      </c>
      <c r="X10" s="64">
        <f>+'Result(P)'!E25</f>
        <v>0</v>
      </c>
      <c r="Y10" s="74"/>
      <c r="Z10" s="66" t="e">
        <f>+#REF!+#REF!</f>
        <v>#REF!</v>
      </c>
      <c r="AA10" s="68" t="e">
        <f t="shared" ref="AA10:AA17" si="6">+X10+Z10-T10+Y10</f>
        <v>#REF!</v>
      </c>
      <c r="AC10" s="64" t="e">
        <f>+'Result(P)'!#REF!</f>
        <v>#REF!</v>
      </c>
      <c r="AD10" s="74"/>
      <c r="AE10" s="66" t="e">
        <f>+#REF!+#REF!</f>
        <v>#REF!</v>
      </c>
      <c r="AF10" s="66" t="e">
        <f>+#REF!+#REF!</f>
        <v>#REF!</v>
      </c>
      <c r="AG10" s="68" t="e">
        <f t="shared" ref="AG10:AG17" si="7">+AC10+AF10-AE10+AD10</f>
        <v>#REF!</v>
      </c>
      <c r="AI10" s="64" t="e">
        <f>+'Result(P)'!#REF!</f>
        <v>#REF!</v>
      </c>
      <c r="AJ10" s="74"/>
      <c r="AK10" s="66" t="e">
        <f>+#REF!+#REF!</f>
        <v>#REF!</v>
      </c>
      <c r="AL10" s="66" t="e">
        <f>+#REF!+#REF!</f>
        <v>#REF!</v>
      </c>
      <c r="AM10" s="68" t="e">
        <f t="shared" ref="AM10:AM17" si="8">+AI10+AL10-AK10+AJ10</f>
        <v>#REF!</v>
      </c>
      <c r="AO10" s="64" t="e">
        <f>+'Result(P)'!#REF!</f>
        <v>#REF!</v>
      </c>
      <c r="AP10" s="74"/>
      <c r="AQ10" s="66" t="e">
        <f>+#REF!+#REF!</f>
        <v>#REF!</v>
      </c>
      <c r="AR10" s="68" t="e">
        <f t="shared" ref="AR10:AR17" si="9">+AO10+AQ10-AK10+AP10</f>
        <v>#REF!</v>
      </c>
    </row>
    <row r="11" spans="1:44" ht="14.1" hidden="1" customHeight="1" x14ac:dyDescent="0.2">
      <c r="A11" s="18"/>
      <c r="B11" s="18" t="s">
        <v>54</v>
      </c>
      <c r="C11" s="18"/>
      <c r="D11" s="19">
        <f t="shared" si="0"/>
        <v>16014.892169999999</v>
      </c>
      <c r="E11" s="19">
        <f t="shared" ref="E11:E17" si="10">+V11</f>
        <v>12774.39086</v>
      </c>
      <c r="F11" s="19">
        <f t="shared" ref="F11:F17" si="11">+AA11</f>
        <v>13113212.710000001</v>
      </c>
      <c r="G11" s="19" t="e">
        <f t="shared" si="1"/>
        <v>#REF!</v>
      </c>
      <c r="H11" s="19" t="e">
        <f t="shared" si="2"/>
        <v>#REF!</v>
      </c>
      <c r="I11" s="19" t="e">
        <f t="shared" si="3"/>
        <v>#REF!</v>
      </c>
      <c r="J11" s="18"/>
      <c r="L11" s="64">
        <f>+'Result(P)'!C9</f>
        <v>16014.892169999999</v>
      </c>
      <c r="M11" s="74"/>
      <c r="N11" s="75"/>
      <c r="O11" s="75"/>
      <c r="P11" s="68">
        <f t="shared" si="4"/>
        <v>16014.892169999999</v>
      </c>
      <c r="R11" s="64">
        <f>+'Result(P)'!D9</f>
        <v>12774.39086</v>
      </c>
      <c r="S11" s="74"/>
      <c r="T11" s="75"/>
      <c r="U11" s="75"/>
      <c r="V11" s="68">
        <f t="shared" si="5"/>
        <v>12774.39086</v>
      </c>
      <c r="X11" s="64">
        <f>+'Result(P)'!E9</f>
        <v>13113212.710000001</v>
      </c>
      <c r="Y11" s="74"/>
      <c r="Z11" s="75"/>
      <c r="AA11" s="68">
        <f t="shared" si="6"/>
        <v>13113212.710000001</v>
      </c>
      <c r="AC11" s="64" t="e">
        <f>+'Result(P)'!#REF!</f>
        <v>#REF!</v>
      </c>
      <c r="AD11" s="74"/>
      <c r="AE11" s="75"/>
      <c r="AF11" s="75"/>
      <c r="AG11" s="68" t="e">
        <f t="shared" si="7"/>
        <v>#REF!</v>
      </c>
      <c r="AI11" s="64" t="e">
        <f>+'Result(P)'!#REF!</f>
        <v>#REF!</v>
      </c>
      <c r="AJ11" s="74"/>
      <c r="AK11" s="75"/>
      <c r="AL11" s="75"/>
      <c r="AM11" s="68" t="e">
        <f t="shared" si="8"/>
        <v>#REF!</v>
      </c>
      <c r="AO11" s="64" t="e">
        <f>+'Result(P)'!#REF!</f>
        <v>#REF!</v>
      </c>
      <c r="AP11" s="74"/>
      <c r="AQ11" s="75"/>
      <c r="AR11" s="68" t="e">
        <f t="shared" si="9"/>
        <v>#REF!</v>
      </c>
    </row>
    <row r="12" spans="1:44" ht="14.1" hidden="1" customHeight="1" x14ac:dyDescent="0.2">
      <c r="A12" s="18"/>
      <c r="B12" s="18" t="s">
        <v>67</v>
      </c>
      <c r="C12" s="18"/>
      <c r="D12" s="19" t="e">
        <f t="shared" si="0"/>
        <v>#REF!</v>
      </c>
      <c r="E12" s="19" t="e">
        <f t="shared" si="10"/>
        <v>#REF!</v>
      </c>
      <c r="F12" s="19" t="e">
        <f t="shared" si="11"/>
        <v>#REF!</v>
      </c>
      <c r="G12" s="19" t="e">
        <f t="shared" si="1"/>
        <v>#REF!</v>
      </c>
      <c r="H12" s="19" t="e">
        <f t="shared" si="2"/>
        <v>#REF!</v>
      </c>
      <c r="I12" s="19" t="e">
        <f t="shared" si="3"/>
        <v>#REF!</v>
      </c>
      <c r="J12" s="18"/>
      <c r="L12" s="64">
        <f>+'Result(P)'!C12+'Result(P)'!C19</f>
        <v>13805.824629999999</v>
      </c>
      <c r="M12" s="74"/>
      <c r="N12" s="66" t="e">
        <f>+#REF!-#REF!</f>
        <v>#REF!</v>
      </c>
      <c r="O12" s="66" t="e">
        <f>+#REF!-#REF!</f>
        <v>#REF!</v>
      </c>
      <c r="P12" s="68" t="e">
        <f t="shared" si="4"/>
        <v>#REF!</v>
      </c>
      <c r="R12" s="64">
        <f>+'Result(P)'!D12+'Result(P)'!D19</f>
        <v>10996.617399999999</v>
      </c>
      <c r="S12" s="74"/>
      <c r="T12" s="66" t="e">
        <f>+#REF!-#REF!</f>
        <v>#REF!</v>
      </c>
      <c r="U12" s="66" t="e">
        <f>+#REF!-#REF!</f>
        <v>#REF!</v>
      </c>
      <c r="V12" s="68" t="e">
        <f t="shared" si="5"/>
        <v>#REF!</v>
      </c>
      <c r="X12" s="64">
        <f>+'Result(P)'!E12+'Result(P)'!E19</f>
        <v>11244567.600000001</v>
      </c>
      <c r="Y12" s="74"/>
      <c r="Z12" s="66" t="e">
        <f>+#REF!-#REF!</f>
        <v>#REF!</v>
      </c>
      <c r="AA12" s="68" t="e">
        <f t="shared" si="6"/>
        <v>#REF!</v>
      </c>
      <c r="AC12" s="64" t="e">
        <f>+'Result(P)'!#REF!+'Result(P)'!#REF!</f>
        <v>#REF!</v>
      </c>
      <c r="AD12" s="74"/>
      <c r="AE12" s="66" t="e">
        <f>+#REF!-#REF!</f>
        <v>#REF!</v>
      </c>
      <c r="AF12" s="66" t="e">
        <f>+#REF!-#REF!</f>
        <v>#REF!</v>
      </c>
      <c r="AG12" s="68" t="e">
        <f t="shared" si="7"/>
        <v>#REF!</v>
      </c>
      <c r="AI12" s="64" t="e">
        <f>+'Result(P)'!#REF!+'Result(P)'!#REF!</f>
        <v>#REF!</v>
      </c>
      <c r="AJ12" s="74"/>
      <c r="AK12" s="66" t="e">
        <f>+#REF!-#REF!</f>
        <v>#REF!</v>
      </c>
      <c r="AL12" s="66" t="e">
        <f>+#REF!-#REF!</f>
        <v>#REF!</v>
      </c>
      <c r="AM12" s="68" t="e">
        <f t="shared" si="8"/>
        <v>#REF!</v>
      </c>
      <c r="AO12" s="64" t="e">
        <f>+'Result(P)'!#REF!+'Result(P)'!#REF!</f>
        <v>#REF!</v>
      </c>
      <c r="AP12" s="74"/>
      <c r="AQ12" s="66" t="e">
        <f>+#REF!-#REF!</f>
        <v>#REF!</v>
      </c>
      <c r="AR12" s="68" t="e">
        <f t="shared" si="9"/>
        <v>#REF!</v>
      </c>
    </row>
    <row r="13" spans="1:44" ht="14.1" customHeight="1" x14ac:dyDescent="0.2">
      <c r="A13" s="18"/>
      <c r="B13" s="18" t="s">
        <v>53</v>
      </c>
      <c r="C13" s="18"/>
      <c r="D13" s="19" t="e">
        <f t="shared" si="0"/>
        <v>#REF!</v>
      </c>
      <c r="E13" s="19" t="e">
        <f t="shared" si="10"/>
        <v>#REF!</v>
      </c>
      <c r="F13" s="19" t="e">
        <f t="shared" si="11"/>
        <v>#REF!</v>
      </c>
      <c r="G13" s="19" t="e">
        <f t="shared" si="1"/>
        <v>#REF!</v>
      </c>
      <c r="H13" s="19" t="e">
        <f t="shared" si="2"/>
        <v>#REF!</v>
      </c>
      <c r="I13" s="19" t="e">
        <f t="shared" si="3"/>
        <v>#REF!</v>
      </c>
      <c r="J13" s="18"/>
      <c r="L13" s="64">
        <f>+'Result(P)'!C10+'Result(P)'!C11+'Result(P)'!C17-L46</f>
        <v>-2209.06754</v>
      </c>
      <c r="M13" s="114" t="e">
        <f>-L21</f>
        <v>#REF!</v>
      </c>
      <c r="N13" s="75"/>
      <c r="O13" s="75"/>
      <c r="P13" s="68" t="e">
        <f t="shared" si="4"/>
        <v>#REF!</v>
      </c>
      <c r="R13" s="64">
        <f>+'Result(P)'!D10+'Result(P)'!D11+'Result(P)'!D17-R46</f>
        <v>-1776.7734599999999</v>
      </c>
      <c r="S13" s="114" t="e">
        <f>-R21</f>
        <v>#REF!</v>
      </c>
      <c r="T13" s="75"/>
      <c r="U13" s="75"/>
      <c r="V13" s="68" t="e">
        <f t="shared" si="5"/>
        <v>#REF!</v>
      </c>
      <c r="X13" s="64">
        <f>+'Result(P)'!E10+'Result(P)'!E11+'Result(P)'!E17-X46</f>
        <v>-1868645.11</v>
      </c>
      <c r="Y13" s="114" t="e">
        <f>-X21</f>
        <v>#REF!</v>
      </c>
      <c r="Z13" s="75"/>
      <c r="AA13" s="68" t="e">
        <f t="shared" si="6"/>
        <v>#REF!</v>
      </c>
      <c r="AC13" s="64" t="e">
        <f>+'Result(P)'!#REF!+'Result(P)'!#REF!+'Result(P)'!#REF!-AC46</f>
        <v>#REF!</v>
      </c>
      <c r="AD13" s="114" t="e">
        <f>-AC21</f>
        <v>#REF!</v>
      </c>
      <c r="AE13" s="75"/>
      <c r="AF13" s="75"/>
      <c r="AG13" s="68" t="e">
        <f t="shared" si="7"/>
        <v>#REF!</v>
      </c>
      <c r="AI13" s="64" t="e">
        <f>+'Result(P)'!#REF!+'Result(P)'!#REF!+'Result(P)'!#REF!-AI46</f>
        <v>#REF!</v>
      </c>
      <c r="AJ13" s="114" t="e">
        <f>-AI21</f>
        <v>#REF!</v>
      </c>
      <c r="AK13" s="75"/>
      <c r="AL13" s="75"/>
      <c r="AM13" s="68" t="e">
        <f t="shared" si="8"/>
        <v>#REF!</v>
      </c>
      <c r="AO13" s="64" t="e">
        <f>+'Result(P)'!#REF!+'Result(P)'!#REF!+'Result(P)'!#REF!-AO46</f>
        <v>#REF!</v>
      </c>
      <c r="AP13" s="114" t="e">
        <f>-AO21</f>
        <v>#REF!</v>
      </c>
      <c r="AQ13" s="75"/>
      <c r="AR13" s="68" t="e">
        <f>+AO13+AQ13-AK13+AP13</f>
        <v>#REF!</v>
      </c>
    </row>
    <row r="14" spans="1:44" ht="14.1" customHeight="1" x14ac:dyDescent="0.2">
      <c r="A14" s="18"/>
      <c r="B14" s="18" t="s">
        <v>45</v>
      </c>
      <c r="C14" s="18"/>
      <c r="D14" s="19" t="e">
        <f t="shared" si="0"/>
        <v>#REF!</v>
      </c>
      <c r="E14" s="19" t="e">
        <f t="shared" si="10"/>
        <v>#REF!</v>
      </c>
      <c r="F14" s="19" t="e">
        <f t="shared" si="11"/>
        <v>#REF!</v>
      </c>
      <c r="G14" s="19" t="e">
        <f t="shared" si="1"/>
        <v>#REF!</v>
      </c>
      <c r="H14" s="19" t="e">
        <f t="shared" si="2"/>
        <v>#REF!</v>
      </c>
      <c r="I14" s="19" t="e">
        <f t="shared" si="3"/>
        <v>#REF!</v>
      </c>
      <c r="J14" s="18"/>
      <c r="L14" s="64" t="e">
        <f>+'Result(P)'!C26+'Result(P)'!C29+'Result(P)'!#REF!-'Result(P)'!#REF!</f>
        <v>#REF!</v>
      </c>
      <c r="M14" s="74"/>
      <c r="N14" s="66" t="e">
        <f>+#REF!+#REF!-#REF!-#REF!-#REF!-#REF!</f>
        <v>#REF!</v>
      </c>
      <c r="O14" s="66" t="e">
        <f>+#REF!+#REF!-#REF!-#REF!-#REF!-#REF!</f>
        <v>#REF!</v>
      </c>
      <c r="P14" s="68" t="e">
        <f t="shared" si="4"/>
        <v>#REF!</v>
      </c>
      <c r="R14" s="64" t="e">
        <f>+'Result(P)'!D26+'Result(P)'!D29+'Result(P)'!#REF!-'Result(P)'!#REF!</f>
        <v>#REF!</v>
      </c>
      <c r="S14" s="74"/>
      <c r="T14" s="66" t="e">
        <f>+#REF!+#REF!-#REF!-#REF!-#REF!-#REF!</f>
        <v>#REF!</v>
      </c>
      <c r="U14" s="66" t="e">
        <f>+#REF!+#REF!-#REF!-#REF!-#REF!-#REF!</f>
        <v>#REF!</v>
      </c>
      <c r="V14" s="68" t="e">
        <f t="shared" si="5"/>
        <v>#REF!</v>
      </c>
      <c r="X14" s="64" t="e">
        <f>+'Result(P)'!E26+'Result(P)'!E29+'Result(P)'!#REF!-'Result(P)'!#REF!</f>
        <v>#REF!</v>
      </c>
      <c r="Y14" s="74"/>
      <c r="Z14" s="66" t="e">
        <f>+#REF!+#REF!-#REF!-#REF!-#REF!-#REF!</f>
        <v>#REF!</v>
      </c>
      <c r="AA14" s="68" t="e">
        <f t="shared" si="6"/>
        <v>#REF!</v>
      </c>
      <c r="AC14" s="64" t="e">
        <f>+'Result(P)'!#REF!+'Result(P)'!#REF!+'Result(P)'!#REF!-'Result(P)'!#REF!</f>
        <v>#REF!</v>
      </c>
      <c r="AD14" s="74"/>
      <c r="AE14" s="66" t="e">
        <f>+#REF!+#REF!-#REF!-#REF!-#REF!-#REF!</f>
        <v>#REF!</v>
      </c>
      <c r="AF14" s="66" t="e">
        <f>+#REF!+#REF!-#REF!-#REF!-#REF!-#REF!</f>
        <v>#REF!</v>
      </c>
      <c r="AG14" s="68" t="e">
        <f>+AC14+AF14-AE14+AD14</f>
        <v>#REF!</v>
      </c>
      <c r="AI14" s="64" t="e">
        <f>+'Result(P)'!#REF!+'Result(P)'!#REF!+'Result(P)'!#REF!-'Result(P)'!#REF!</f>
        <v>#REF!</v>
      </c>
      <c r="AJ14" s="74"/>
      <c r="AK14" s="66" t="e">
        <f>+#REF!+#REF!-#REF!-#REF!-#REF!-#REF!</f>
        <v>#REF!</v>
      </c>
      <c r="AL14" s="66" t="e">
        <f>+#REF!+#REF!-#REF!-#REF!-#REF!-#REF!</f>
        <v>#REF!</v>
      </c>
      <c r="AM14" s="68" t="e">
        <f t="shared" si="8"/>
        <v>#REF!</v>
      </c>
      <c r="AO14" s="64" t="e">
        <f>+'Result(P)'!#REF!+'Result(P)'!#REF!+'Result(P)'!#REF!-'Result(P)'!#REF!</f>
        <v>#REF!</v>
      </c>
      <c r="AP14" s="74"/>
      <c r="AQ14" s="66" t="e">
        <f>+#REF!+#REF!-#REF!-#REF!-#REF!-#REF!</f>
        <v>#REF!</v>
      </c>
      <c r="AR14" s="68" t="e">
        <f t="shared" si="9"/>
        <v>#REF!</v>
      </c>
    </row>
    <row r="15" spans="1:44" ht="14.1" customHeight="1" x14ac:dyDescent="0.2">
      <c r="A15" s="18"/>
      <c r="B15" s="18" t="s">
        <v>34</v>
      </c>
      <c r="C15" s="18"/>
      <c r="D15" s="19" t="e">
        <f t="shared" si="0"/>
        <v>#REF!</v>
      </c>
      <c r="E15" s="19" t="e">
        <f t="shared" si="10"/>
        <v>#REF!</v>
      </c>
      <c r="F15" s="19" t="e">
        <f t="shared" si="11"/>
        <v>#REF!</v>
      </c>
      <c r="G15" s="19" t="e">
        <f t="shared" si="1"/>
        <v>#REF!</v>
      </c>
      <c r="H15" s="19" t="e">
        <f t="shared" si="2"/>
        <v>#REF!</v>
      </c>
      <c r="I15" s="19" t="e">
        <f t="shared" si="3"/>
        <v>#REF!</v>
      </c>
      <c r="J15" s="18"/>
      <c r="L15" s="64">
        <f>+'Result(P)'!C30</f>
        <v>-69312.642179999995</v>
      </c>
      <c r="M15" s="74"/>
      <c r="N15" s="66" t="e">
        <f>-#REF!-#REF!-#REF!</f>
        <v>#REF!</v>
      </c>
      <c r="O15" s="66" t="e">
        <f>-#REF!-#REF!-#REF!</f>
        <v>#REF!</v>
      </c>
      <c r="P15" s="68" t="e">
        <f t="shared" si="4"/>
        <v>#REF!</v>
      </c>
      <c r="R15" s="64">
        <f>+'Result(P)'!D30</f>
        <v>-37340.079469999997</v>
      </c>
      <c r="S15" s="74"/>
      <c r="T15" s="66" t="e">
        <f>-#REF!-#REF!-#REF!</f>
        <v>#REF!</v>
      </c>
      <c r="U15" s="66" t="e">
        <f>-#REF!-#REF!-#REF!</f>
        <v>#REF!</v>
      </c>
      <c r="V15" s="68" t="e">
        <f t="shared" si="5"/>
        <v>#REF!</v>
      </c>
      <c r="X15" s="64">
        <f>+'Result(P)'!E30</f>
        <v>-28920731.440000001</v>
      </c>
      <c r="Y15" s="74"/>
      <c r="Z15" s="66" t="e">
        <f>-#REF!-#REF!-#REF!</f>
        <v>#REF!</v>
      </c>
      <c r="AA15" s="68" t="e">
        <f t="shared" si="6"/>
        <v>#REF!</v>
      </c>
      <c r="AC15" s="64" t="e">
        <f>+'Result(P)'!#REF!</f>
        <v>#REF!</v>
      </c>
      <c r="AD15" s="74"/>
      <c r="AE15" s="66" t="e">
        <f>-#REF!-#REF!-#REF!</f>
        <v>#REF!</v>
      </c>
      <c r="AF15" s="66" t="e">
        <f>-#REF!-#REF!-#REF!</f>
        <v>#REF!</v>
      </c>
      <c r="AG15" s="68" t="e">
        <f t="shared" si="7"/>
        <v>#REF!</v>
      </c>
      <c r="AI15" s="64" t="e">
        <f>+'Result(P)'!#REF!</f>
        <v>#REF!</v>
      </c>
      <c r="AJ15" s="74"/>
      <c r="AK15" s="66" t="e">
        <f>-#REF!-#REF!-#REF!</f>
        <v>#REF!</v>
      </c>
      <c r="AL15" s="66" t="e">
        <f>-#REF!-#REF!-#REF!</f>
        <v>#REF!</v>
      </c>
      <c r="AM15" s="68" t="e">
        <f t="shared" si="8"/>
        <v>#REF!</v>
      </c>
      <c r="AO15" s="64" t="e">
        <f>+'Result(P)'!#REF!</f>
        <v>#REF!</v>
      </c>
      <c r="AP15" s="74"/>
      <c r="AQ15" s="66" t="e">
        <f>-#REF!-#REF!-#REF!</f>
        <v>#REF!</v>
      </c>
      <c r="AR15" s="68" t="e">
        <f t="shared" si="9"/>
        <v>#REF!</v>
      </c>
    </row>
    <row r="16" spans="1:44" ht="14.1" customHeight="1" x14ac:dyDescent="0.2">
      <c r="A16" s="18"/>
      <c r="B16" s="18" t="s">
        <v>35</v>
      </c>
      <c r="C16" s="18"/>
      <c r="D16" s="19" t="e">
        <f t="shared" si="0"/>
        <v>#REF!</v>
      </c>
      <c r="E16" s="19" t="e">
        <f t="shared" si="10"/>
        <v>#REF!</v>
      </c>
      <c r="F16" s="19" t="e">
        <f t="shared" si="11"/>
        <v>#REF!</v>
      </c>
      <c r="G16" s="19" t="e">
        <f t="shared" si="1"/>
        <v>#REF!</v>
      </c>
      <c r="H16" s="19" t="e">
        <f t="shared" si="2"/>
        <v>#REF!</v>
      </c>
      <c r="I16" s="19" t="e">
        <f t="shared" si="3"/>
        <v>#REF!</v>
      </c>
      <c r="J16" s="18"/>
      <c r="L16" s="64">
        <f>+'Result(P)'!C39</f>
        <v>0</v>
      </c>
      <c r="M16" s="74"/>
      <c r="N16" s="66" t="e">
        <f>-#REF!-#REF!-#REF!+#REF!</f>
        <v>#REF!</v>
      </c>
      <c r="O16" s="66" t="e">
        <f>-#REF!-#REF!-#REF!+#REF!</f>
        <v>#REF!</v>
      </c>
      <c r="P16" s="68" t="e">
        <f t="shared" si="4"/>
        <v>#REF!</v>
      </c>
      <c r="R16" s="64">
        <f>+'Result(P)'!D39</f>
        <v>0</v>
      </c>
      <c r="S16" s="74"/>
      <c r="T16" s="66" t="e">
        <f>-#REF!-#REF!-#REF!+#REF!</f>
        <v>#REF!</v>
      </c>
      <c r="U16" s="66" t="e">
        <f>-#REF!-#REF!-#REF!+#REF!</f>
        <v>#REF!</v>
      </c>
      <c r="V16" s="68" t="e">
        <f t="shared" si="5"/>
        <v>#REF!</v>
      </c>
      <c r="X16" s="64">
        <f>+'Result(P)'!E39</f>
        <v>0</v>
      </c>
      <c r="Y16" s="74"/>
      <c r="Z16" s="66" t="e">
        <f>-#REF!-#REF!-#REF!+#REF!</f>
        <v>#REF!</v>
      </c>
      <c r="AA16" s="68" t="e">
        <f t="shared" si="6"/>
        <v>#REF!</v>
      </c>
      <c r="AC16" s="64" t="e">
        <f>+'Result(P)'!#REF!</f>
        <v>#REF!</v>
      </c>
      <c r="AD16" s="74"/>
      <c r="AE16" s="66" t="e">
        <f>-#REF!-#REF!-#REF!+#REF!</f>
        <v>#REF!</v>
      </c>
      <c r="AF16" s="66" t="e">
        <f>-#REF!-#REF!-#REF!+#REF!</f>
        <v>#REF!</v>
      </c>
      <c r="AG16" s="68" t="e">
        <f t="shared" si="7"/>
        <v>#REF!</v>
      </c>
      <c r="AI16" s="64" t="e">
        <f>+'Result(P)'!#REF!</f>
        <v>#REF!</v>
      </c>
      <c r="AJ16" s="74"/>
      <c r="AK16" s="66" t="e">
        <f>-#REF!-#REF!-#REF!+#REF!</f>
        <v>#REF!</v>
      </c>
      <c r="AL16" s="66" t="e">
        <f>-#REF!-#REF!-#REF!+#REF!</f>
        <v>#REF!</v>
      </c>
      <c r="AM16" s="68" t="e">
        <f t="shared" si="8"/>
        <v>#REF!</v>
      </c>
      <c r="AO16" s="64" t="e">
        <f>+'Result(P)'!#REF!</f>
        <v>#REF!</v>
      </c>
      <c r="AP16" s="74"/>
      <c r="AQ16" s="66" t="e">
        <f>-#REF!-#REF!-#REF!+#REF!</f>
        <v>#REF!</v>
      </c>
      <c r="AR16" s="68" t="e">
        <f t="shared" si="9"/>
        <v>#REF!</v>
      </c>
    </row>
    <row r="17" spans="1:44" ht="14.1" customHeight="1" x14ac:dyDescent="0.2">
      <c r="A17" s="18"/>
      <c r="B17" s="18" t="s">
        <v>51</v>
      </c>
      <c r="C17" s="18"/>
      <c r="D17" s="19" t="e">
        <f t="shared" si="0"/>
        <v>#REF!</v>
      </c>
      <c r="E17" s="19" t="e">
        <f t="shared" si="10"/>
        <v>#REF!</v>
      </c>
      <c r="F17" s="19" t="e">
        <f t="shared" si="11"/>
        <v>#REF!</v>
      </c>
      <c r="G17" s="19" t="e">
        <f t="shared" si="1"/>
        <v>#REF!</v>
      </c>
      <c r="H17" s="19" t="e">
        <f t="shared" si="2"/>
        <v>#REF!</v>
      </c>
      <c r="I17" s="19" t="e">
        <f t="shared" si="3"/>
        <v>#REF!</v>
      </c>
      <c r="J17" s="18"/>
      <c r="L17" s="64" t="e">
        <f>+'Result(P)'!#REF!+'Result(P)'!#REF!+'Result(P)'!#REF!+'Result(P)'!#REF!</f>
        <v>#REF!</v>
      </c>
      <c r="M17" s="74"/>
      <c r="N17" s="75"/>
      <c r="O17" s="75"/>
      <c r="P17" s="68" t="e">
        <f t="shared" si="4"/>
        <v>#REF!</v>
      </c>
      <c r="R17" s="64" t="e">
        <f>+'Result(P)'!#REF!+'Result(P)'!#REF!+'Result(P)'!#REF!+'Result(P)'!#REF!</f>
        <v>#REF!</v>
      </c>
      <c r="S17" s="74"/>
      <c r="T17" s="75"/>
      <c r="U17" s="75"/>
      <c r="V17" s="68" t="e">
        <f t="shared" si="5"/>
        <v>#REF!</v>
      </c>
      <c r="X17" s="64" t="e">
        <f>+'Result(P)'!#REF!+'Result(P)'!#REF!+'Result(P)'!#REF!+'Result(P)'!#REF!</f>
        <v>#REF!</v>
      </c>
      <c r="Y17" s="74"/>
      <c r="Z17" s="75"/>
      <c r="AA17" s="68" t="e">
        <f t="shared" si="6"/>
        <v>#REF!</v>
      </c>
      <c r="AC17" s="64" t="e">
        <f>+'Result(P)'!#REF!+'Result(P)'!#REF!+'Result(P)'!#REF!+'Result(P)'!#REF!</f>
        <v>#REF!</v>
      </c>
      <c r="AD17" s="74"/>
      <c r="AE17" s="75"/>
      <c r="AF17" s="75"/>
      <c r="AG17" s="68" t="e">
        <f t="shared" si="7"/>
        <v>#REF!</v>
      </c>
      <c r="AI17" s="64" t="e">
        <f>+'Result(P)'!#REF!+'Result(P)'!#REF!+'Result(P)'!#REF!+'Result(P)'!#REF!</f>
        <v>#REF!</v>
      </c>
      <c r="AJ17" s="74"/>
      <c r="AK17" s="75"/>
      <c r="AL17" s="75"/>
      <c r="AM17" s="68" t="e">
        <f t="shared" si="8"/>
        <v>#REF!</v>
      </c>
      <c r="AO17" s="64" t="e">
        <f>+'Result(P)'!#REF!+'Result(P)'!#REF!+'Result(P)'!#REF!+'Result(P)'!#REF!</f>
        <v>#REF!</v>
      </c>
      <c r="AP17" s="74"/>
      <c r="AQ17" s="75"/>
      <c r="AR17" s="68" t="e">
        <f t="shared" si="9"/>
        <v>#REF!</v>
      </c>
    </row>
    <row r="18" spans="1:44" s="44" customFormat="1" ht="18.75" customHeight="1" x14ac:dyDescent="0.35">
      <c r="A18" s="42"/>
      <c r="B18" s="42" t="s">
        <v>36</v>
      </c>
      <c r="C18" s="42"/>
      <c r="D18" s="43" t="e">
        <f t="shared" ref="D18:I18" si="12">SUM(D10:D17)</f>
        <v>#REF!</v>
      </c>
      <c r="E18" s="43" t="e">
        <f t="shared" si="12"/>
        <v>#REF!</v>
      </c>
      <c r="F18" s="43" t="e">
        <f t="shared" si="12"/>
        <v>#REF!</v>
      </c>
      <c r="G18" s="43" t="e">
        <f t="shared" si="12"/>
        <v>#REF!</v>
      </c>
      <c r="H18" s="43" t="e">
        <f t="shared" si="12"/>
        <v>#REF!</v>
      </c>
      <c r="I18" s="43" t="e">
        <f t="shared" si="12"/>
        <v>#REF!</v>
      </c>
      <c r="J18" s="42"/>
      <c r="L18" s="76"/>
      <c r="M18" s="77"/>
      <c r="N18" s="4"/>
      <c r="O18" s="4"/>
      <c r="P18" s="78"/>
      <c r="R18" s="76"/>
      <c r="S18" s="77"/>
      <c r="T18" s="4"/>
      <c r="U18" s="4"/>
      <c r="V18" s="78"/>
      <c r="W18" s="56"/>
      <c r="X18" s="76"/>
      <c r="Y18" s="77"/>
      <c r="Z18" s="4"/>
      <c r="AA18" s="78"/>
      <c r="AC18" s="76"/>
      <c r="AD18" s="77"/>
      <c r="AE18" s="4"/>
      <c r="AF18" s="4"/>
      <c r="AG18" s="78"/>
      <c r="AI18" s="76"/>
      <c r="AJ18" s="77"/>
      <c r="AK18" s="4"/>
      <c r="AL18" s="4"/>
      <c r="AM18" s="78"/>
      <c r="AN18" s="56"/>
      <c r="AO18" s="76"/>
      <c r="AP18" s="77"/>
      <c r="AQ18" s="4"/>
      <c r="AR18" s="78"/>
    </row>
    <row r="19" spans="1:44" s="44" customFormat="1" ht="18.75" customHeight="1" x14ac:dyDescent="0.35">
      <c r="A19" s="42"/>
      <c r="B19" s="42"/>
      <c r="C19" s="42"/>
      <c r="D19" s="43"/>
      <c r="E19" s="43"/>
      <c r="F19" s="43"/>
      <c r="G19" s="43"/>
      <c r="H19" s="43"/>
      <c r="I19" s="43"/>
      <c r="J19" s="42"/>
      <c r="L19" s="76"/>
      <c r="M19" s="77"/>
      <c r="N19" s="4"/>
      <c r="O19" s="4"/>
      <c r="P19" s="78"/>
      <c r="R19" s="76"/>
      <c r="S19" s="77"/>
      <c r="T19" s="4"/>
      <c r="U19" s="4"/>
      <c r="V19" s="78"/>
      <c r="W19" s="56"/>
      <c r="X19" s="76"/>
      <c r="Y19" s="77"/>
      <c r="Z19" s="4"/>
      <c r="AA19" s="78"/>
      <c r="AC19" s="76"/>
      <c r="AD19" s="77"/>
      <c r="AE19" s="4"/>
      <c r="AF19" s="4"/>
      <c r="AG19" s="78"/>
      <c r="AI19" s="76"/>
      <c r="AJ19" s="77"/>
      <c r="AK19" s="4"/>
      <c r="AL19" s="4"/>
      <c r="AM19" s="78"/>
      <c r="AN19" s="56"/>
      <c r="AO19" s="76"/>
      <c r="AP19" s="77"/>
      <c r="AQ19" s="4"/>
      <c r="AR19" s="78"/>
    </row>
    <row r="20" spans="1:44" ht="14.1" customHeight="1" x14ac:dyDescent="0.2">
      <c r="A20" s="18"/>
      <c r="B20" s="42" t="s">
        <v>37</v>
      </c>
      <c r="C20" s="18"/>
      <c r="D20" s="19"/>
      <c r="E20" s="19"/>
      <c r="F20" s="19"/>
      <c r="G20" s="19"/>
      <c r="H20" s="19"/>
      <c r="I20" s="19"/>
      <c r="J20" s="18"/>
      <c r="L20" s="64"/>
      <c r="M20" s="69"/>
      <c r="N20" s="66"/>
      <c r="O20" s="66"/>
      <c r="P20" s="68"/>
      <c r="R20" s="64"/>
      <c r="S20" s="69"/>
      <c r="T20" s="66"/>
      <c r="U20" s="66"/>
      <c r="V20" s="68"/>
      <c r="X20" s="64"/>
      <c r="Y20" s="69"/>
      <c r="Z20" s="66"/>
      <c r="AA20" s="68"/>
      <c r="AC20" s="64"/>
      <c r="AD20" s="69"/>
      <c r="AE20" s="66"/>
      <c r="AF20" s="66"/>
      <c r="AG20" s="68"/>
      <c r="AI20" s="64"/>
      <c r="AJ20" s="69"/>
      <c r="AK20" s="66"/>
      <c r="AL20" s="66"/>
      <c r="AM20" s="68"/>
      <c r="AO20" s="64"/>
      <c r="AP20" s="69"/>
      <c r="AQ20" s="66"/>
      <c r="AR20" s="68"/>
    </row>
    <row r="21" spans="1:44" ht="14.1" customHeight="1" x14ac:dyDescent="0.2">
      <c r="A21" s="18"/>
      <c r="B21" s="18" t="s">
        <v>91</v>
      </c>
      <c r="C21" s="18"/>
      <c r="D21" s="19" t="e">
        <f t="shared" ref="D21:D26" si="13">+P21</f>
        <v>#REF!</v>
      </c>
      <c r="E21" s="19" t="e">
        <f t="shared" ref="E21:E26" si="14">+V21</f>
        <v>#REF!</v>
      </c>
      <c r="F21" s="19" t="e">
        <f t="shared" ref="F21:F26" si="15">+AA21</f>
        <v>#REF!</v>
      </c>
      <c r="G21" s="19" t="e">
        <f t="shared" ref="G21:G26" si="16">+AG21</f>
        <v>#REF!</v>
      </c>
      <c r="H21" s="19" t="e">
        <f t="shared" ref="H21:H26" si="17">+AM21</f>
        <v>#REF!</v>
      </c>
      <c r="I21" s="19" t="e">
        <f t="shared" ref="I21:I26" si="18">+AR21</f>
        <v>#REF!</v>
      </c>
      <c r="J21" s="18"/>
      <c r="L21" s="80" t="e">
        <f>+#REF!+#REF!</f>
        <v>#REF!</v>
      </c>
      <c r="M21" s="115" t="e">
        <f>+#REF!</f>
        <v>#REF!</v>
      </c>
      <c r="N21" s="66" t="e">
        <f>+#REF!+#REF!</f>
        <v>#REF!</v>
      </c>
      <c r="O21" s="66" t="e">
        <f>+#REF!+#REF!</f>
        <v>#REF!</v>
      </c>
      <c r="P21" s="68" t="e">
        <f t="shared" ref="P21:P26" si="19">+L21+O21-N21+M21</f>
        <v>#REF!</v>
      </c>
      <c r="R21" s="80" t="e">
        <f>+#REF!+#REF!</f>
        <v>#REF!</v>
      </c>
      <c r="S21" s="98" t="e">
        <f>+#REF!</f>
        <v>#REF!</v>
      </c>
      <c r="T21" s="66" t="e">
        <f>+#REF!+#REF!</f>
        <v>#REF!</v>
      </c>
      <c r="U21" s="66" t="e">
        <f>+#REF!+#REF!</f>
        <v>#REF!</v>
      </c>
      <c r="V21" s="68" t="e">
        <f t="shared" ref="V21:V26" si="20">+R21+U21-T21+S21</f>
        <v>#REF!</v>
      </c>
      <c r="X21" s="80" t="e">
        <f>+#REF!+#REF!</f>
        <v>#REF!</v>
      </c>
      <c r="Y21" s="98" t="e">
        <f>+#REF!</f>
        <v>#REF!</v>
      </c>
      <c r="Z21" s="66" t="e">
        <f>+#REF!+#REF!</f>
        <v>#REF!</v>
      </c>
      <c r="AA21" s="68" t="e">
        <f t="shared" ref="AA21:AA26" si="21">+X21+Z21-T21+Y21</f>
        <v>#REF!</v>
      </c>
      <c r="AC21" s="80" t="e">
        <f>+#REF!+#REF!</f>
        <v>#REF!</v>
      </c>
      <c r="AD21" s="98" t="e">
        <f>+#REF!</f>
        <v>#REF!</v>
      </c>
      <c r="AE21" s="66" t="e">
        <f>+#REF!+#REF!</f>
        <v>#REF!</v>
      </c>
      <c r="AF21" s="66" t="e">
        <f>+#REF!+#REF!</f>
        <v>#REF!</v>
      </c>
      <c r="AG21" s="68" t="e">
        <f t="shared" ref="AG21:AG26" si="22">+AC21+AF21-AE21+AD21</f>
        <v>#REF!</v>
      </c>
      <c r="AI21" s="80" t="e">
        <f>+#REF!+#REF!</f>
        <v>#REF!</v>
      </c>
      <c r="AJ21" s="98" t="e">
        <f>+#REF!</f>
        <v>#REF!</v>
      </c>
      <c r="AK21" s="66" t="e">
        <f>+#REF!+#REF!</f>
        <v>#REF!</v>
      </c>
      <c r="AL21" s="66" t="e">
        <f>+#REF!+#REF!</f>
        <v>#REF!</v>
      </c>
      <c r="AM21" s="68" t="e">
        <f t="shared" ref="AM21:AM26" si="23">+AI21+AL21-AK21+AJ21</f>
        <v>#REF!</v>
      </c>
      <c r="AO21" s="80" t="e">
        <f>+#REF!+#REF!</f>
        <v>#REF!</v>
      </c>
      <c r="AP21" s="98" t="e">
        <f>+#REF!</f>
        <v>#REF!</v>
      </c>
      <c r="AQ21" s="66" t="e">
        <f>+#REF!+#REF!</f>
        <v>#REF!</v>
      </c>
      <c r="AR21" s="68" t="e">
        <f t="shared" ref="AR21:AR26" si="24">+AO21+AQ21-AK21+AP21</f>
        <v>#REF!</v>
      </c>
    </row>
    <row r="22" spans="1:44" ht="14.1" hidden="1" customHeight="1" x14ac:dyDescent="0.2">
      <c r="A22" s="18"/>
      <c r="B22" s="18" t="s">
        <v>47</v>
      </c>
      <c r="C22" s="18"/>
      <c r="D22" s="19" t="e">
        <f t="shared" si="13"/>
        <v>#REF!</v>
      </c>
      <c r="E22" s="19" t="e">
        <f t="shared" si="14"/>
        <v>#REF!</v>
      </c>
      <c r="F22" s="19" t="e">
        <f t="shared" si="15"/>
        <v>#REF!</v>
      </c>
      <c r="G22" s="19" t="e">
        <f t="shared" si="16"/>
        <v>#REF!</v>
      </c>
      <c r="H22" s="19" t="e">
        <f t="shared" si="17"/>
        <v>#REF!</v>
      </c>
      <c r="I22" s="19" t="e">
        <f t="shared" si="18"/>
        <v>#REF!</v>
      </c>
      <c r="J22" s="18"/>
      <c r="L22" s="79"/>
      <c r="M22" s="74"/>
      <c r="N22" s="66" t="e">
        <f>+#REF!</f>
        <v>#REF!</v>
      </c>
      <c r="O22" s="66" t="e">
        <f>+#REF!</f>
        <v>#REF!</v>
      </c>
      <c r="P22" s="68" t="e">
        <f t="shared" si="19"/>
        <v>#REF!</v>
      </c>
      <c r="R22" s="79"/>
      <c r="S22" s="74"/>
      <c r="T22" s="66" t="e">
        <f>+#REF!</f>
        <v>#REF!</v>
      </c>
      <c r="U22" s="66" t="e">
        <f>+#REF!</f>
        <v>#REF!</v>
      </c>
      <c r="V22" s="68" t="e">
        <f t="shared" si="20"/>
        <v>#REF!</v>
      </c>
      <c r="X22" s="79"/>
      <c r="Y22" s="74"/>
      <c r="Z22" s="66" t="e">
        <f>+#REF!</f>
        <v>#REF!</v>
      </c>
      <c r="AA22" s="68" t="e">
        <f t="shared" si="21"/>
        <v>#REF!</v>
      </c>
      <c r="AC22" s="79"/>
      <c r="AD22" s="74"/>
      <c r="AE22" s="66" t="e">
        <f>+#REF!</f>
        <v>#REF!</v>
      </c>
      <c r="AF22" s="66" t="e">
        <f>+#REF!</f>
        <v>#REF!</v>
      </c>
      <c r="AG22" s="68" t="e">
        <f t="shared" si="22"/>
        <v>#REF!</v>
      </c>
      <c r="AI22" s="79"/>
      <c r="AJ22" s="74"/>
      <c r="AK22" s="66" t="e">
        <f>+#REF!</f>
        <v>#REF!</v>
      </c>
      <c r="AL22" s="66" t="e">
        <f>+#REF!</f>
        <v>#REF!</v>
      </c>
      <c r="AM22" s="68" t="e">
        <f t="shared" si="23"/>
        <v>#REF!</v>
      </c>
      <c r="AO22" s="79"/>
      <c r="AP22" s="74"/>
      <c r="AQ22" s="66" t="e">
        <f>+#REF!</f>
        <v>#REF!</v>
      </c>
      <c r="AR22" s="68" t="e">
        <f t="shared" si="24"/>
        <v>#REF!</v>
      </c>
    </row>
    <row r="23" spans="1:44" ht="14.1" hidden="1" customHeight="1" x14ac:dyDescent="0.2">
      <c r="A23" s="18"/>
      <c r="B23" s="18" t="s">
        <v>49</v>
      </c>
      <c r="C23" s="18"/>
      <c r="D23" s="19" t="e">
        <f t="shared" si="13"/>
        <v>#REF!</v>
      </c>
      <c r="E23" s="19" t="e">
        <f t="shared" si="14"/>
        <v>#REF!</v>
      </c>
      <c r="F23" s="19" t="e">
        <f t="shared" si="15"/>
        <v>#REF!</v>
      </c>
      <c r="G23" s="19" t="e">
        <f t="shared" si="16"/>
        <v>#REF!</v>
      </c>
      <c r="H23" s="19" t="e">
        <f t="shared" si="17"/>
        <v>#REF!</v>
      </c>
      <c r="I23" s="19" t="e">
        <f t="shared" si="18"/>
        <v>#REF!</v>
      </c>
      <c r="J23" s="18"/>
      <c r="L23" s="79"/>
      <c r="M23" s="74"/>
      <c r="N23" s="66" t="e">
        <f>+#REF!</f>
        <v>#REF!</v>
      </c>
      <c r="O23" s="66" t="e">
        <f>+#REF!</f>
        <v>#REF!</v>
      </c>
      <c r="P23" s="68" t="e">
        <f t="shared" si="19"/>
        <v>#REF!</v>
      </c>
      <c r="R23" s="79"/>
      <c r="S23" s="74"/>
      <c r="T23" s="66" t="e">
        <f>+#REF!</f>
        <v>#REF!</v>
      </c>
      <c r="U23" s="66" t="e">
        <f>+#REF!</f>
        <v>#REF!</v>
      </c>
      <c r="V23" s="68" t="e">
        <f t="shared" si="20"/>
        <v>#REF!</v>
      </c>
      <c r="X23" s="79"/>
      <c r="Y23" s="74"/>
      <c r="Z23" s="66" t="e">
        <f>+#REF!</f>
        <v>#REF!</v>
      </c>
      <c r="AA23" s="68" t="e">
        <f t="shared" si="21"/>
        <v>#REF!</v>
      </c>
      <c r="AC23" s="79"/>
      <c r="AD23" s="74"/>
      <c r="AE23" s="66" t="e">
        <f>+#REF!</f>
        <v>#REF!</v>
      </c>
      <c r="AF23" s="66" t="e">
        <f>+#REF!</f>
        <v>#REF!</v>
      </c>
      <c r="AG23" s="68" t="e">
        <f t="shared" si="22"/>
        <v>#REF!</v>
      </c>
      <c r="AI23" s="79"/>
      <c r="AJ23" s="74"/>
      <c r="AK23" s="66" t="e">
        <f>+#REF!</f>
        <v>#REF!</v>
      </c>
      <c r="AL23" s="66" t="e">
        <f>+#REF!</f>
        <v>#REF!</v>
      </c>
      <c r="AM23" s="68" t="e">
        <f t="shared" si="23"/>
        <v>#REF!</v>
      </c>
      <c r="AO23" s="79"/>
      <c r="AP23" s="74"/>
      <c r="AQ23" s="66" t="e">
        <f>+#REF!</f>
        <v>#REF!</v>
      </c>
      <c r="AR23" s="68" t="e">
        <f t="shared" si="24"/>
        <v>#REF!</v>
      </c>
    </row>
    <row r="24" spans="1:44" ht="14.1" customHeight="1" x14ac:dyDescent="0.2">
      <c r="A24" s="18"/>
      <c r="B24" s="18" t="s">
        <v>50</v>
      </c>
      <c r="C24" s="18"/>
      <c r="D24" s="19" t="e">
        <f t="shared" si="13"/>
        <v>#REF!</v>
      </c>
      <c r="E24" s="19" t="e">
        <f t="shared" si="14"/>
        <v>#REF!</v>
      </c>
      <c r="F24" s="19" t="e">
        <f t="shared" si="15"/>
        <v>#REF!</v>
      </c>
      <c r="G24" s="19" t="e">
        <f t="shared" si="16"/>
        <v>#REF!</v>
      </c>
      <c r="H24" s="19" t="e">
        <f t="shared" si="17"/>
        <v>#REF!</v>
      </c>
      <c r="I24" s="19" t="e">
        <f t="shared" si="18"/>
        <v>#REF!</v>
      </c>
      <c r="J24" s="18"/>
      <c r="L24" s="64">
        <f>+'Result(P)'!C20</f>
        <v>-74024.22073999999</v>
      </c>
      <c r="M24" s="74"/>
      <c r="N24" s="66" t="e">
        <f>+#REF!+#REF!+#REF!</f>
        <v>#REF!</v>
      </c>
      <c r="O24" s="66" t="e">
        <f>+#REF!+#REF!+#REF!</f>
        <v>#REF!</v>
      </c>
      <c r="P24" s="68" t="e">
        <f t="shared" si="19"/>
        <v>#REF!</v>
      </c>
      <c r="R24" s="64">
        <f>+'Result(P)'!D20</f>
        <v>-43800.187819999999</v>
      </c>
      <c r="S24" s="74"/>
      <c r="T24" s="66" t="e">
        <f>+#REF!+#REF!+#REF!</f>
        <v>#REF!</v>
      </c>
      <c r="U24" s="66" t="e">
        <f>+#REF!+#REF!+#REF!</f>
        <v>#REF!</v>
      </c>
      <c r="V24" s="68" t="e">
        <f t="shared" si="20"/>
        <v>#REF!</v>
      </c>
      <c r="X24" s="64">
        <f>+'Result(P)'!E20</f>
        <v>-35992853.060000002</v>
      </c>
      <c r="Y24" s="74"/>
      <c r="Z24" s="66" t="e">
        <f>+#REF!+#REF!+#REF!</f>
        <v>#REF!</v>
      </c>
      <c r="AA24" s="68" t="e">
        <f t="shared" si="21"/>
        <v>#REF!</v>
      </c>
      <c r="AC24" s="64" t="e">
        <f>+'Result(P)'!#REF!</f>
        <v>#REF!</v>
      </c>
      <c r="AD24" s="74"/>
      <c r="AE24" s="66" t="e">
        <f>+#REF!+#REF!+#REF!</f>
        <v>#REF!</v>
      </c>
      <c r="AF24" s="66" t="e">
        <f>+#REF!+#REF!+#REF!</f>
        <v>#REF!</v>
      </c>
      <c r="AG24" s="68" t="e">
        <f t="shared" si="22"/>
        <v>#REF!</v>
      </c>
      <c r="AI24" s="64" t="e">
        <f>+'Result(P)'!#REF!</f>
        <v>#REF!</v>
      </c>
      <c r="AJ24" s="74"/>
      <c r="AK24" s="66" t="e">
        <f>+#REF!+#REF!+#REF!</f>
        <v>#REF!</v>
      </c>
      <c r="AL24" s="66" t="e">
        <f>+#REF!+#REF!+#REF!</f>
        <v>#REF!</v>
      </c>
      <c r="AM24" s="68" t="e">
        <f t="shared" si="23"/>
        <v>#REF!</v>
      </c>
      <c r="AO24" s="64" t="e">
        <f>+'Result(P)'!#REF!</f>
        <v>#REF!</v>
      </c>
      <c r="AP24" s="74"/>
      <c r="AQ24" s="66" t="e">
        <f>+#REF!+#REF!+#REF!</f>
        <v>#REF!</v>
      </c>
      <c r="AR24" s="68" t="e">
        <f t="shared" si="24"/>
        <v>#REF!</v>
      </c>
    </row>
    <row r="25" spans="1:44" ht="14.1" customHeight="1" x14ac:dyDescent="0.2">
      <c r="A25" s="18"/>
      <c r="B25" s="18" t="s">
        <v>38</v>
      </c>
      <c r="C25" s="18"/>
      <c r="D25" s="19" t="e">
        <f t="shared" si="13"/>
        <v>#REF!</v>
      </c>
      <c r="E25" s="19" t="e">
        <f t="shared" si="14"/>
        <v>#REF!</v>
      </c>
      <c r="F25" s="19" t="e">
        <f t="shared" si="15"/>
        <v>#REF!</v>
      </c>
      <c r="G25" s="19" t="e">
        <f t="shared" si="16"/>
        <v>#REF!</v>
      </c>
      <c r="H25" s="19" t="e">
        <f t="shared" si="17"/>
        <v>#REF!</v>
      </c>
      <c r="I25" s="19" t="e">
        <f t="shared" si="18"/>
        <v>#REF!</v>
      </c>
      <c r="J25" s="18"/>
      <c r="L25" s="79"/>
      <c r="M25" s="74"/>
      <c r="N25" s="66" t="e">
        <f>#REF!-#REF!-#REF!-#REF!-#REF!-#REF!</f>
        <v>#REF!</v>
      </c>
      <c r="O25" s="66" t="e">
        <f>+#REF!-#REF!-#REF!-#REF!-#REF!-#REF!</f>
        <v>#REF!</v>
      </c>
      <c r="P25" s="68" t="e">
        <f t="shared" si="19"/>
        <v>#REF!</v>
      </c>
      <c r="R25" s="79"/>
      <c r="S25" s="74"/>
      <c r="T25" s="66" t="e">
        <f>#REF!-#REF!-#REF!-#REF!-#REF!-#REF!</f>
        <v>#REF!</v>
      </c>
      <c r="U25" s="66" t="e">
        <f>+#REF!-#REF!-#REF!-#REF!-#REF!-#REF!</f>
        <v>#REF!</v>
      </c>
      <c r="V25" s="68" t="e">
        <f t="shared" si="20"/>
        <v>#REF!</v>
      </c>
      <c r="X25" s="79"/>
      <c r="Y25" s="74"/>
      <c r="Z25" s="66" t="e">
        <f>+#REF!-#REF!-#REF!-#REF!-#REF!-#REF!</f>
        <v>#REF!</v>
      </c>
      <c r="AA25" s="68" t="e">
        <f t="shared" si="21"/>
        <v>#REF!</v>
      </c>
      <c r="AC25" s="79"/>
      <c r="AD25" s="74"/>
      <c r="AE25" s="66" t="e">
        <f>#REF!-#REF!-#REF!-#REF!-#REF!-#REF!</f>
        <v>#REF!</v>
      </c>
      <c r="AF25" s="66" t="e">
        <f>+#REF!-#REF!-#REF!-#REF!-#REF!-#REF!</f>
        <v>#REF!</v>
      </c>
      <c r="AG25" s="68" t="e">
        <f t="shared" si="22"/>
        <v>#REF!</v>
      </c>
      <c r="AI25" s="79"/>
      <c r="AJ25" s="74"/>
      <c r="AK25" s="66" t="e">
        <f>#REF!-#REF!-#REF!-#REF!-#REF!-#REF!</f>
        <v>#REF!</v>
      </c>
      <c r="AL25" s="66" t="e">
        <f>+#REF!-#REF!-#REF!-#REF!-#REF!-#REF!</f>
        <v>#REF!</v>
      </c>
      <c r="AM25" s="68" t="e">
        <f t="shared" si="23"/>
        <v>#REF!</v>
      </c>
      <c r="AO25" s="79"/>
      <c r="AP25" s="74"/>
      <c r="AQ25" s="66" t="e">
        <f>+#REF!-#REF!-#REF!-#REF!-#REF!-#REF!</f>
        <v>#REF!</v>
      </c>
      <c r="AR25" s="68" t="e">
        <f t="shared" si="24"/>
        <v>#REF!</v>
      </c>
    </row>
    <row r="26" spans="1:44" ht="14.1" customHeight="1" x14ac:dyDescent="0.2">
      <c r="A26" s="18"/>
      <c r="B26" s="18" t="s">
        <v>39</v>
      </c>
      <c r="C26" s="18"/>
      <c r="D26" s="19" t="e">
        <f t="shared" si="13"/>
        <v>#REF!</v>
      </c>
      <c r="E26" s="19" t="e">
        <f t="shared" si="14"/>
        <v>#REF!</v>
      </c>
      <c r="F26" s="19" t="e">
        <f t="shared" si="15"/>
        <v>#REF!</v>
      </c>
      <c r="G26" s="19" t="e">
        <f t="shared" si="16"/>
        <v>#REF!</v>
      </c>
      <c r="H26" s="19" t="e">
        <f t="shared" si="17"/>
        <v>#REF!</v>
      </c>
      <c r="I26" s="19" t="e">
        <f t="shared" si="18"/>
        <v>#REF!</v>
      </c>
      <c r="J26" s="18"/>
      <c r="L26" s="79"/>
      <c r="M26" s="74"/>
      <c r="N26" s="66" t="e">
        <f>+#REF!+#REF!</f>
        <v>#REF!</v>
      </c>
      <c r="O26" s="66" t="e">
        <f>+#REF!+#REF!</f>
        <v>#REF!</v>
      </c>
      <c r="P26" s="68" t="e">
        <f t="shared" si="19"/>
        <v>#REF!</v>
      </c>
      <c r="R26" s="79"/>
      <c r="S26" s="74"/>
      <c r="T26" s="66" t="e">
        <f>+#REF!+#REF!</f>
        <v>#REF!</v>
      </c>
      <c r="U26" s="66" t="e">
        <f>+#REF!+#REF!</f>
        <v>#REF!</v>
      </c>
      <c r="V26" s="68" t="e">
        <f t="shared" si="20"/>
        <v>#REF!</v>
      </c>
      <c r="X26" s="79"/>
      <c r="Y26" s="74"/>
      <c r="Z26" s="66" t="e">
        <f>+#REF!+#REF!</f>
        <v>#REF!</v>
      </c>
      <c r="AA26" s="68" t="e">
        <f t="shared" si="21"/>
        <v>#REF!</v>
      </c>
      <c r="AC26" s="79"/>
      <c r="AD26" s="74"/>
      <c r="AE26" s="66" t="e">
        <f>+#REF!+#REF!</f>
        <v>#REF!</v>
      </c>
      <c r="AF26" s="66" t="e">
        <f>+#REF!+#REF!</f>
        <v>#REF!</v>
      </c>
      <c r="AG26" s="68" t="e">
        <f t="shared" si="22"/>
        <v>#REF!</v>
      </c>
      <c r="AI26" s="79"/>
      <c r="AJ26" s="74"/>
      <c r="AK26" s="66" t="e">
        <f>+#REF!+#REF!</f>
        <v>#REF!</v>
      </c>
      <c r="AL26" s="66" t="e">
        <f>+#REF!+#REF!</f>
        <v>#REF!</v>
      </c>
      <c r="AM26" s="68" t="e">
        <f t="shared" si="23"/>
        <v>#REF!</v>
      </c>
      <c r="AO26" s="79"/>
      <c r="AP26" s="74"/>
      <c r="AQ26" s="66" t="e">
        <f>+#REF!+#REF!</f>
        <v>#REF!</v>
      </c>
      <c r="AR26" s="68" t="e">
        <f t="shared" si="24"/>
        <v>#REF!</v>
      </c>
    </row>
    <row r="27" spans="1:44" ht="14.1" customHeight="1" x14ac:dyDescent="0.2">
      <c r="A27" s="18"/>
      <c r="B27" s="18"/>
      <c r="C27" s="18"/>
      <c r="D27" s="19"/>
      <c r="E27" s="19"/>
      <c r="F27" s="19"/>
      <c r="G27" s="19"/>
      <c r="H27" s="19"/>
      <c r="I27" s="19"/>
      <c r="J27" s="18"/>
      <c r="L27" s="64"/>
      <c r="M27" s="69"/>
      <c r="N27" s="66"/>
      <c r="O27" s="66"/>
      <c r="P27" s="68"/>
      <c r="R27" s="64"/>
      <c r="S27" s="69"/>
      <c r="T27" s="66"/>
      <c r="U27" s="66"/>
      <c r="V27" s="68"/>
      <c r="X27" s="64"/>
      <c r="Y27" s="69"/>
      <c r="Z27" s="66"/>
      <c r="AA27" s="68"/>
      <c r="AC27" s="64"/>
      <c r="AD27" s="69"/>
      <c r="AE27" s="66"/>
      <c r="AF27" s="66"/>
      <c r="AG27" s="68"/>
      <c r="AI27" s="64"/>
      <c r="AJ27" s="69"/>
      <c r="AK27" s="66"/>
      <c r="AL27" s="66"/>
      <c r="AM27" s="68"/>
      <c r="AO27" s="64"/>
      <c r="AP27" s="69"/>
      <c r="AQ27" s="66"/>
      <c r="AR27" s="68"/>
    </row>
    <row r="28" spans="1:44" ht="14.1" customHeight="1" x14ac:dyDescent="0.2">
      <c r="A28" s="18"/>
      <c r="B28" s="42" t="s">
        <v>46</v>
      </c>
      <c r="C28" s="18"/>
      <c r="D28" s="19"/>
      <c r="E28" s="19"/>
      <c r="F28" s="19"/>
      <c r="G28" s="19"/>
      <c r="H28" s="19"/>
      <c r="I28" s="19"/>
      <c r="J28" s="18"/>
      <c r="L28" s="64"/>
      <c r="M28" s="69"/>
      <c r="N28" s="66"/>
      <c r="O28" s="66"/>
      <c r="P28" s="68"/>
      <c r="R28" s="64"/>
      <c r="S28" s="69"/>
      <c r="T28" s="66"/>
      <c r="U28" s="66"/>
      <c r="V28" s="68"/>
      <c r="X28" s="64"/>
      <c r="Y28" s="69"/>
      <c r="Z28" s="66"/>
      <c r="AA28" s="68"/>
      <c r="AC28" s="64"/>
      <c r="AD28" s="69"/>
      <c r="AE28" s="66"/>
      <c r="AF28" s="66"/>
      <c r="AG28" s="68"/>
      <c r="AI28" s="64"/>
      <c r="AJ28" s="69"/>
      <c r="AK28" s="66"/>
      <c r="AL28" s="66"/>
      <c r="AM28" s="68"/>
      <c r="AO28" s="64"/>
      <c r="AP28" s="69"/>
      <c r="AQ28" s="66"/>
      <c r="AR28" s="68"/>
    </row>
    <row r="29" spans="1:44" ht="14.1" hidden="1" customHeight="1" x14ac:dyDescent="0.2">
      <c r="A29" s="18"/>
      <c r="B29" s="18" t="s">
        <v>6</v>
      </c>
      <c r="C29" s="18"/>
      <c r="D29" s="19" t="e">
        <f t="shared" ref="D29:D34" si="25">+P29</f>
        <v>#REF!</v>
      </c>
      <c r="E29" s="19" t="e">
        <f t="shared" ref="E29:E35" si="26">+V29</f>
        <v>#REF!</v>
      </c>
      <c r="F29" s="19" t="e">
        <f t="shared" ref="F29:F34" si="27">+AA29</f>
        <v>#REF!</v>
      </c>
      <c r="G29" s="19" t="e">
        <f t="shared" ref="G29:G35" si="28">+AG29</f>
        <v>#REF!</v>
      </c>
      <c r="H29" s="19" t="e">
        <f t="shared" ref="H29:H35" si="29">+AM29</f>
        <v>#REF!</v>
      </c>
      <c r="I29" s="19" t="e">
        <f t="shared" ref="I29:I35" si="30">+AR29</f>
        <v>#REF!</v>
      </c>
      <c r="J29" s="18"/>
      <c r="L29" s="79"/>
      <c r="M29" s="74"/>
      <c r="N29" s="66" t="e">
        <f>-#REF!</f>
        <v>#REF!</v>
      </c>
      <c r="O29" s="66" t="e">
        <f>-#REF!</f>
        <v>#REF!</v>
      </c>
      <c r="P29" s="68" t="e">
        <f t="shared" ref="P29:P35" si="31">+L29+O29-N29+M29</f>
        <v>#REF!</v>
      </c>
      <c r="R29" s="79"/>
      <c r="S29" s="74"/>
      <c r="T29" s="66" t="e">
        <f>-#REF!</f>
        <v>#REF!</v>
      </c>
      <c r="U29" s="66" t="e">
        <f>-#REF!</f>
        <v>#REF!</v>
      </c>
      <c r="V29" s="68" t="e">
        <f t="shared" ref="V29:V35" si="32">+R29+U29-T29+S29</f>
        <v>#REF!</v>
      </c>
      <c r="X29" s="79"/>
      <c r="Y29" s="74"/>
      <c r="Z29" s="66" t="e">
        <f>-#REF!</f>
        <v>#REF!</v>
      </c>
      <c r="AA29" s="68" t="e">
        <f t="shared" ref="AA29:AA35" si="33">+X29+Z29-T29+Y29</f>
        <v>#REF!</v>
      </c>
      <c r="AC29" s="79"/>
      <c r="AD29" s="74"/>
      <c r="AE29" s="66" t="e">
        <f>-#REF!</f>
        <v>#REF!</v>
      </c>
      <c r="AF29" s="66" t="e">
        <f>-#REF!</f>
        <v>#REF!</v>
      </c>
      <c r="AG29" s="68" t="e">
        <f t="shared" ref="AG29:AG35" si="34">+AC29+AF29-AE29+AD29</f>
        <v>#REF!</v>
      </c>
      <c r="AI29" s="79"/>
      <c r="AJ29" s="74"/>
      <c r="AK29" s="66" t="e">
        <f>-#REF!</f>
        <v>#REF!</v>
      </c>
      <c r="AL29" s="66" t="e">
        <f>-#REF!</f>
        <v>#REF!</v>
      </c>
      <c r="AM29" s="68" t="e">
        <f t="shared" ref="AM29:AM35" si="35">+AI29+AL29-AK29+AJ29</f>
        <v>#REF!</v>
      </c>
      <c r="AO29" s="79"/>
      <c r="AP29" s="74"/>
      <c r="AQ29" s="66" t="e">
        <f>-#REF!</f>
        <v>#REF!</v>
      </c>
      <c r="AR29" s="68" t="e">
        <f t="shared" ref="AR29:AR35" si="36">+AO29+AQ29-AK29+AP29</f>
        <v>#REF!</v>
      </c>
    </row>
    <row r="30" spans="1:44" ht="14.1" hidden="1" customHeight="1" x14ac:dyDescent="0.2">
      <c r="A30" s="18"/>
      <c r="B30" s="18" t="s">
        <v>100</v>
      </c>
      <c r="C30" s="18"/>
      <c r="D30" s="19" t="e">
        <f t="shared" si="25"/>
        <v>#REF!</v>
      </c>
      <c r="E30" s="19" t="e">
        <f t="shared" si="26"/>
        <v>#REF!</v>
      </c>
      <c r="F30" s="19" t="e">
        <f t="shared" si="27"/>
        <v>#REF!</v>
      </c>
      <c r="G30" s="19" t="e">
        <f t="shared" si="28"/>
        <v>#REF!</v>
      </c>
      <c r="H30" s="19" t="e">
        <f t="shared" si="29"/>
        <v>#REF!</v>
      </c>
      <c r="I30" s="19" t="e">
        <f t="shared" si="30"/>
        <v>#REF!</v>
      </c>
      <c r="J30" s="18"/>
      <c r="L30" s="79"/>
      <c r="M30" s="74"/>
      <c r="N30" s="66" t="e">
        <f>-#REF!</f>
        <v>#REF!</v>
      </c>
      <c r="O30" s="66" t="e">
        <f>-#REF!</f>
        <v>#REF!</v>
      </c>
      <c r="P30" s="68" t="e">
        <f t="shared" si="31"/>
        <v>#REF!</v>
      </c>
      <c r="R30" s="79"/>
      <c r="S30" s="74"/>
      <c r="T30" s="66" t="e">
        <f>-#REF!</f>
        <v>#REF!</v>
      </c>
      <c r="U30" s="66" t="e">
        <f>-#REF!</f>
        <v>#REF!</v>
      </c>
      <c r="V30" s="68" t="e">
        <f t="shared" si="32"/>
        <v>#REF!</v>
      </c>
      <c r="X30" s="79"/>
      <c r="Y30" s="74"/>
      <c r="Z30" s="66" t="e">
        <f>-#REF!</f>
        <v>#REF!</v>
      </c>
      <c r="AA30" s="68" t="e">
        <f t="shared" si="33"/>
        <v>#REF!</v>
      </c>
      <c r="AC30" s="79"/>
      <c r="AD30" s="74"/>
      <c r="AE30" s="66" t="e">
        <f>-#REF!</f>
        <v>#REF!</v>
      </c>
      <c r="AF30" s="66" t="e">
        <f>-#REF!</f>
        <v>#REF!</v>
      </c>
      <c r="AG30" s="68" t="e">
        <f t="shared" si="34"/>
        <v>#REF!</v>
      </c>
      <c r="AI30" s="79"/>
      <c r="AJ30" s="74"/>
      <c r="AK30" s="66" t="e">
        <f>-#REF!</f>
        <v>#REF!</v>
      </c>
      <c r="AL30" s="66" t="e">
        <f>-#REF!</f>
        <v>#REF!</v>
      </c>
      <c r="AM30" s="68" t="e">
        <f t="shared" si="35"/>
        <v>#REF!</v>
      </c>
      <c r="AO30" s="79"/>
      <c r="AP30" s="74"/>
      <c r="AQ30" s="66" t="e">
        <f>-#REF!</f>
        <v>#REF!</v>
      </c>
      <c r="AR30" s="68" t="e">
        <f t="shared" si="36"/>
        <v>#REF!</v>
      </c>
    </row>
    <row r="31" spans="1:44" ht="14.1" hidden="1" customHeight="1" x14ac:dyDescent="0.2">
      <c r="A31" s="18"/>
      <c r="B31" s="18" t="s">
        <v>7</v>
      </c>
      <c r="C31" s="18"/>
      <c r="D31" s="19" t="e">
        <f t="shared" si="25"/>
        <v>#REF!</v>
      </c>
      <c r="E31" s="19" t="e">
        <f t="shared" si="26"/>
        <v>#REF!</v>
      </c>
      <c r="F31" s="19" t="e">
        <f t="shared" si="27"/>
        <v>#REF!</v>
      </c>
      <c r="G31" s="19" t="e">
        <f t="shared" si="28"/>
        <v>#REF!</v>
      </c>
      <c r="H31" s="19" t="e">
        <f t="shared" si="29"/>
        <v>#REF!</v>
      </c>
      <c r="I31" s="19" t="e">
        <f t="shared" si="30"/>
        <v>#REF!</v>
      </c>
      <c r="J31" s="18"/>
      <c r="L31" s="79"/>
      <c r="M31" s="74"/>
      <c r="N31" s="66" t="e">
        <f>-#REF!</f>
        <v>#REF!</v>
      </c>
      <c r="O31" s="66" t="e">
        <f>-#REF!</f>
        <v>#REF!</v>
      </c>
      <c r="P31" s="68" t="e">
        <f t="shared" si="31"/>
        <v>#REF!</v>
      </c>
      <c r="R31" s="79"/>
      <c r="S31" s="74"/>
      <c r="T31" s="66" t="e">
        <f>-#REF!</f>
        <v>#REF!</v>
      </c>
      <c r="U31" s="66" t="e">
        <f>-#REF!</f>
        <v>#REF!</v>
      </c>
      <c r="V31" s="68" t="e">
        <f t="shared" si="32"/>
        <v>#REF!</v>
      </c>
      <c r="X31" s="79"/>
      <c r="Y31" s="74"/>
      <c r="Z31" s="66" t="e">
        <f>-#REF!</f>
        <v>#REF!</v>
      </c>
      <c r="AA31" s="68" t="e">
        <f t="shared" si="33"/>
        <v>#REF!</v>
      </c>
      <c r="AC31" s="79"/>
      <c r="AD31" s="74"/>
      <c r="AE31" s="66" t="e">
        <f>-#REF!</f>
        <v>#REF!</v>
      </c>
      <c r="AF31" s="66" t="e">
        <f>-#REF!</f>
        <v>#REF!</v>
      </c>
      <c r="AG31" s="68" t="e">
        <f t="shared" si="34"/>
        <v>#REF!</v>
      </c>
      <c r="AI31" s="79"/>
      <c r="AJ31" s="74"/>
      <c r="AK31" s="66" t="e">
        <f>-#REF!</f>
        <v>#REF!</v>
      </c>
      <c r="AL31" s="66" t="e">
        <f>-#REF!</f>
        <v>#REF!</v>
      </c>
      <c r="AM31" s="68" t="e">
        <f t="shared" si="35"/>
        <v>#REF!</v>
      </c>
      <c r="AO31" s="79"/>
      <c r="AP31" s="74"/>
      <c r="AQ31" s="66" t="e">
        <f>-#REF!</f>
        <v>#REF!</v>
      </c>
      <c r="AR31" s="68" t="e">
        <f t="shared" si="36"/>
        <v>#REF!</v>
      </c>
    </row>
    <row r="32" spans="1:44" ht="14.1" hidden="1" customHeight="1" x14ac:dyDescent="0.2">
      <c r="A32" s="18"/>
      <c r="B32" s="18" t="s">
        <v>47</v>
      </c>
      <c r="C32" s="18"/>
      <c r="D32" s="19" t="e">
        <f t="shared" si="25"/>
        <v>#REF!</v>
      </c>
      <c r="E32" s="19" t="e">
        <f t="shared" si="26"/>
        <v>#REF!</v>
      </c>
      <c r="F32" s="19" t="e">
        <f t="shared" si="27"/>
        <v>#REF!</v>
      </c>
      <c r="G32" s="19" t="e">
        <f t="shared" si="28"/>
        <v>#REF!</v>
      </c>
      <c r="H32" s="19" t="e">
        <f t="shared" si="29"/>
        <v>#REF!</v>
      </c>
      <c r="I32" s="19" t="e">
        <f t="shared" si="30"/>
        <v>#REF!</v>
      </c>
      <c r="J32" s="18"/>
      <c r="L32" s="79"/>
      <c r="M32" s="74"/>
      <c r="N32" s="66" t="e">
        <f>-#REF!</f>
        <v>#REF!</v>
      </c>
      <c r="O32" s="66" t="e">
        <f>-#REF!</f>
        <v>#REF!</v>
      </c>
      <c r="P32" s="68" t="e">
        <f t="shared" si="31"/>
        <v>#REF!</v>
      </c>
      <c r="R32" s="79"/>
      <c r="S32" s="74"/>
      <c r="T32" s="66" t="e">
        <f>-#REF!</f>
        <v>#REF!</v>
      </c>
      <c r="U32" s="66" t="e">
        <f>-#REF!</f>
        <v>#REF!</v>
      </c>
      <c r="V32" s="68" t="e">
        <f t="shared" si="32"/>
        <v>#REF!</v>
      </c>
      <c r="X32" s="79"/>
      <c r="Y32" s="74"/>
      <c r="Z32" s="66" t="e">
        <f>-#REF!</f>
        <v>#REF!</v>
      </c>
      <c r="AA32" s="68" t="e">
        <f t="shared" si="33"/>
        <v>#REF!</v>
      </c>
      <c r="AC32" s="79"/>
      <c r="AD32" s="74"/>
      <c r="AE32" s="66" t="e">
        <f>-#REF!</f>
        <v>#REF!</v>
      </c>
      <c r="AF32" s="66" t="e">
        <f>-#REF!</f>
        <v>#REF!</v>
      </c>
      <c r="AG32" s="68" t="e">
        <f t="shared" si="34"/>
        <v>#REF!</v>
      </c>
      <c r="AI32" s="79"/>
      <c r="AJ32" s="74"/>
      <c r="AK32" s="66" t="e">
        <f>-#REF!</f>
        <v>#REF!</v>
      </c>
      <c r="AL32" s="66" t="e">
        <f>-#REF!</f>
        <v>#REF!</v>
      </c>
      <c r="AM32" s="68" t="e">
        <f t="shared" si="35"/>
        <v>#REF!</v>
      </c>
      <c r="AO32" s="79"/>
      <c r="AP32" s="74"/>
      <c r="AQ32" s="66" t="e">
        <f>-#REF!</f>
        <v>#REF!</v>
      </c>
      <c r="AR32" s="68" t="e">
        <f t="shared" si="36"/>
        <v>#REF!</v>
      </c>
    </row>
    <row r="33" spans="1:44" ht="14.1" hidden="1" customHeight="1" x14ac:dyDescent="0.2">
      <c r="A33" s="18"/>
      <c r="B33" s="18" t="s">
        <v>48</v>
      </c>
      <c r="C33" s="18"/>
      <c r="D33" s="19" t="e">
        <f t="shared" si="25"/>
        <v>#REF!</v>
      </c>
      <c r="E33" s="19" t="e">
        <f t="shared" si="26"/>
        <v>#REF!</v>
      </c>
      <c r="F33" s="19" t="e">
        <f t="shared" si="27"/>
        <v>#REF!</v>
      </c>
      <c r="G33" s="19" t="e">
        <f t="shared" si="28"/>
        <v>#REF!</v>
      </c>
      <c r="H33" s="19" t="e">
        <f t="shared" si="29"/>
        <v>#REF!</v>
      </c>
      <c r="I33" s="19" t="e">
        <f t="shared" si="30"/>
        <v>#REF!</v>
      </c>
      <c r="J33" s="18"/>
      <c r="L33" s="80">
        <f>+'Result(P)'!C18</f>
        <v>4710.5785599999999</v>
      </c>
      <c r="M33" s="74"/>
      <c r="N33" s="66" t="e">
        <f>-#REF!</f>
        <v>#REF!</v>
      </c>
      <c r="O33" s="66" t="e">
        <f>-#REF!</f>
        <v>#REF!</v>
      </c>
      <c r="P33" s="68" t="e">
        <f t="shared" si="31"/>
        <v>#REF!</v>
      </c>
      <c r="R33" s="80">
        <f>+'Result(P)'!D18</f>
        <v>6460.1083499999995</v>
      </c>
      <c r="S33" s="74"/>
      <c r="T33" s="66" t="e">
        <f>-#REF!</f>
        <v>#REF!</v>
      </c>
      <c r="U33" s="66" t="e">
        <f>-#REF!</f>
        <v>#REF!</v>
      </c>
      <c r="V33" s="68" t="e">
        <f t="shared" si="32"/>
        <v>#REF!</v>
      </c>
      <c r="X33" s="80">
        <f>+'Result(P)'!E18</f>
        <v>7072121.620000001</v>
      </c>
      <c r="Y33" s="74"/>
      <c r="Z33" s="66" t="e">
        <f>-#REF!</f>
        <v>#REF!</v>
      </c>
      <c r="AA33" s="68" t="e">
        <f t="shared" si="33"/>
        <v>#REF!</v>
      </c>
      <c r="AC33" s="80" t="e">
        <f>+'Result(P)'!#REF!</f>
        <v>#REF!</v>
      </c>
      <c r="AD33" s="74"/>
      <c r="AE33" s="66" t="e">
        <f>-#REF!</f>
        <v>#REF!</v>
      </c>
      <c r="AF33" s="66" t="e">
        <f>-#REF!</f>
        <v>#REF!</v>
      </c>
      <c r="AG33" s="68" t="e">
        <f t="shared" si="34"/>
        <v>#REF!</v>
      </c>
      <c r="AI33" s="80" t="e">
        <f>+'Result(P)'!#REF!</f>
        <v>#REF!</v>
      </c>
      <c r="AJ33" s="74"/>
      <c r="AK33" s="66" t="e">
        <f>-#REF!</f>
        <v>#REF!</v>
      </c>
      <c r="AL33" s="66" t="e">
        <f>-#REF!</f>
        <v>#REF!</v>
      </c>
      <c r="AM33" s="68" t="e">
        <f t="shared" si="35"/>
        <v>#REF!</v>
      </c>
      <c r="AO33" s="80" t="e">
        <f>+'Result(P)'!#REF!</f>
        <v>#REF!</v>
      </c>
      <c r="AP33" s="74"/>
      <c r="AQ33" s="66" t="e">
        <f>-#REF!</f>
        <v>#REF!</v>
      </c>
      <c r="AR33" s="68" t="e">
        <f t="shared" si="36"/>
        <v>#REF!</v>
      </c>
    </row>
    <row r="34" spans="1:44" ht="14.1" customHeight="1" x14ac:dyDescent="0.2">
      <c r="A34" s="18"/>
      <c r="B34" s="18" t="s">
        <v>50</v>
      </c>
      <c r="C34" s="18"/>
      <c r="D34" s="19" t="e">
        <f t="shared" si="25"/>
        <v>#REF!</v>
      </c>
      <c r="E34" s="19" t="e">
        <f t="shared" si="26"/>
        <v>#REF!</v>
      </c>
      <c r="F34" s="19" t="e">
        <f t="shared" si="27"/>
        <v>#REF!</v>
      </c>
      <c r="G34" s="19" t="e">
        <f t="shared" si="28"/>
        <v>#REF!</v>
      </c>
      <c r="H34" s="19" t="e">
        <f t="shared" si="29"/>
        <v>#REF!</v>
      </c>
      <c r="I34" s="19" t="e">
        <f t="shared" si="30"/>
        <v>#REF!</v>
      </c>
      <c r="J34" s="18"/>
      <c r="L34" s="79"/>
      <c r="M34" s="74"/>
      <c r="N34" s="66" t="e">
        <f>-#REF!+#REF!</f>
        <v>#REF!</v>
      </c>
      <c r="O34" s="66" t="e">
        <f>-#REF!+#REF!</f>
        <v>#REF!</v>
      </c>
      <c r="P34" s="68" t="e">
        <f t="shared" si="31"/>
        <v>#REF!</v>
      </c>
      <c r="R34" s="79"/>
      <c r="S34" s="74"/>
      <c r="T34" s="66" t="e">
        <f>-#REF!+#REF!</f>
        <v>#REF!</v>
      </c>
      <c r="U34" s="66" t="e">
        <f>-#REF!+#REF!</f>
        <v>#REF!</v>
      </c>
      <c r="V34" s="68" t="e">
        <f t="shared" si="32"/>
        <v>#REF!</v>
      </c>
      <c r="X34" s="79"/>
      <c r="Y34" s="74"/>
      <c r="Z34" s="66" t="e">
        <f>-#REF!+#REF!</f>
        <v>#REF!</v>
      </c>
      <c r="AA34" s="68" t="e">
        <f t="shared" si="33"/>
        <v>#REF!</v>
      </c>
      <c r="AC34" s="79"/>
      <c r="AD34" s="74"/>
      <c r="AE34" s="66" t="e">
        <f>-#REF!+#REF!</f>
        <v>#REF!</v>
      </c>
      <c r="AF34" s="66" t="e">
        <f>-#REF!+#REF!</f>
        <v>#REF!</v>
      </c>
      <c r="AG34" s="68" t="e">
        <f t="shared" si="34"/>
        <v>#REF!</v>
      </c>
      <c r="AI34" s="79"/>
      <c r="AJ34" s="74"/>
      <c r="AK34" s="66" t="e">
        <f>-#REF!+#REF!</f>
        <v>#REF!</v>
      </c>
      <c r="AL34" s="66" t="e">
        <f>-#REF!+#REF!</f>
        <v>#REF!</v>
      </c>
      <c r="AM34" s="68" t="e">
        <f t="shared" si="35"/>
        <v>#REF!</v>
      </c>
      <c r="AO34" s="79"/>
      <c r="AP34" s="74"/>
      <c r="AQ34" s="66" t="e">
        <f>-#REF!+#REF!</f>
        <v>#REF!</v>
      </c>
      <c r="AR34" s="68" t="e">
        <f t="shared" si="36"/>
        <v>#REF!</v>
      </c>
    </row>
    <row r="35" spans="1:44" ht="14.1" customHeight="1" x14ac:dyDescent="0.2">
      <c r="A35" s="18"/>
      <c r="B35" s="18" t="s">
        <v>52</v>
      </c>
      <c r="C35" s="18"/>
      <c r="D35" s="19" t="e">
        <f>+P35</f>
        <v>#REF!</v>
      </c>
      <c r="E35" s="19" t="e">
        <f t="shared" si="26"/>
        <v>#REF!</v>
      </c>
      <c r="F35" s="19" t="e">
        <f>+AA35</f>
        <v>#REF!</v>
      </c>
      <c r="G35" s="19" t="e">
        <f t="shared" si="28"/>
        <v>#REF!</v>
      </c>
      <c r="H35" s="19" t="e">
        <f t="shared" si="29"/>
        <v>#REF!</v>
      </c>
      <c r="I35" s="19" t="e">
        <f t="shared" si="30"/>
        <v>#REF!</v>
      </c>
      <c r="J35" s="18"/>
      <c r="L35" s="79"/>
      <c r="M35" s="74"/>
      <c r="N35" s="66" t="e">
        <f>-(#REF!+#REF!+#REF!)</f>
        <v>#REF!</v>
      </c>
      <c r="O35" s="66" t="e">
        <f>-(#REF!+#REF!+#REF!)</f>
        <v>#REF!</v>
      </c>
      <c r="P35" s="68" t="e">
        <f t="shared" si="31"/>
        <v>#REF!</v>
      </c>
      <c r="R35" s="79"/>
      <c r="S35" s="74"/>
      <c r="T35" s="66" t="e">
        <f>-(#REF!+#REF!+#REF!)</f>
        <v>#REF!</v>
      </c>
      <c r="U35" s="66" t="e">
        <f>-(#REF!+#REF!+#REF!)</f>
        <v>#REF!</v>
      </c>
      <c r="V35" s="68" t="e">
        <f t="shared" si="32"/>
        <v>#REF!</v>
      </c>
      <c r="X35" s="79"/>
      <c r="Y35" s="74"/>
      <c r="Z35" s="66" t="e">
        <f>-(#REF!+#REF!+#REF!)</f>
        <v>#REF!</v>
      </c>
      <c r="AA35" s="68" t="e">
        <f t="shared" si="33"/>
        <v>#REF!</v>
      </c>
      <c r="AC35" s="79"/>
      <c r="AD35" s="74"/>
      <c r="AE35" s="66" t="e">
        <f>-(#REF!+#REF!+#REF!)</f>
        <v>#REF!</v>
      </c>
      <c r="AF35" s="66" t="e">
        <f>-(#REF!+#REF!+#REF!)</f>
        <v>#REF!</v>
      </c>
      <c r="AG35" s="68" t="e">
        <f t="shared" si="34"/>
        <v>#REF!</v>
      </c>
      <c r="AI35" s="79"/>
      <c r="AJ35" s="74"/>
      <c r="AK35" s="66" t="e">
        <f>-(#REF!+#REF!+#REF!)</f>
        <v>#REF!</v>
      </c>
      <c r="AL35" s="66" t="e">
        <f>-(#REF!+#REF!+#REF!)</f>
        <v>#REF!</v>
      </c>
      <c r="AM35" s="68" t="e">
        <f t="shared" si="35"/>
        <v>#REF!</v>
      </c>
      <c r="AO35" s="79"/>
      <c r="AP35" s="74"/>
      <c r="AQ35" s="66" t="e">
        <f>-(#REF!+#REF!+#REF!)</f>
        <v>#REF!</v>
      </c>
      <c r="AR35" s="68" t="e">
        <f t="shared" si="36"/>
        <v>#REF!</v>
      </c>
    </row>
    <row r="36" spans="1:44" ht="14.1" customHeight="1" x14ac:dyDescent="0.2">
      <c r="A36" s="18"/>
      <c r="B36" s="18"/>
      <c r="C36" s="18"/>
      <c r="D36" s="19"/>
      <c r="E36" s="19"/>
      <c r="F36" s="19"/>
      <c r="G36" s="19"/>
      <c r="H36" s="19"/>
      <c r="I36" s="19"/>
      <c r="J36" s="18"/>
      <c r="L36" s="64"/>
      <c r="M36" s="69"/>
      <c r="N36" s="66"/>
      <c r="O36" s="66"/>
      <c r="P36" s="68"/>
      <c r="R36" s="64"/>
      <c r="S36" s="69"/>
      <c r="T36" s="66"/>
      <c r="U36" s="66"/>
      <c r="V36" s="68"/>
      <c r="X36" s="64"/>
      <c r="Y36" s="69"/>
      <c r="Z36" s="66"/>
      <c r="AA36" s="68"/>
      <c r="AC36" s="64"/>
      <c r="AD36" s="69"/>
      <c r="AE36" s="66"/>
      <c r="AF36" s="66"/>
      <c r="AG36" s="68"/>
      <c r="AI36" s="64"/>
      <c r="AJ36" s="69"/>
      <c r="AK36" s="66"/>
      <c r="AL36" s="66"/>
      <c r="AM36" s="68"/>
      <c r="AO36" s="64"/>
      <c r="AP36" s="69"/>
      <c r="AQ36" s="66"/>
      <c r="AR36" s="68"/>
    </row>
    <row r="37" spans="1:44" s="23" customFormat="1" ht="14.1" customHeight="1" x14ac:dyDescent="0.2">
      <c r="A37" s="20"/>
      <c r="B37" s="20" t="s">
        <v>27</v>
      </c>
      <c r="C37" s="20"/>
      <c r="D37" s="22" t="e">
        <f t="shared" ref="D37:I37" si="37">SUM(D18:D35)</f>
        <v>#REF!</v>
      </c>
      <c r="E37" s="22" t="e">
        <f t="shared" si="37"/>
        <v>#REF!</v>
      </c>
      <c r="F37" s="22" t="e">
        <f t="shared" si="37"/>
        <v>#REF!</v>
      </c>
      <c r="G37" s="22" t="e">
        <f t="shared" si="37"/>
        <v>#REF!</v>
      </c>
      <c r="H37" s="22" t="e">
        <f t="shared" si="37"/>
        <v>#REF!</v>
      </c>
      <c r="I37" s="22" t="e">
        <f t="shared" si="37"/>
        <v>#REF!</v>
      </c>
      <c r="J37" s="20"/>
      <c r="L37" s="81"/>
      <c r="M37" s="82"/>
      <c r="N37" s="83"/>
      <c r="O37" s="83"/>
      <c r="P37" s="84"/>
      <c r="R37" s="81"/>
      <c r="S37" s="82"/>
      <c r="T37" s="83"/>
      <c r="U37" s="83"/>
      <c r="V37" s="84"/>
      <c r="W37" s="57"/>
      <c r="X37" s="81"/>
      <c r="Y37" s="82"/>
      <c r="Z37" s="83"/>
      <c r="AA37" s="84"/>
      <c r="AC37" s="81"/>
      <c r="AD37" s="82"/>
      <c r="AE37" s="83"/>
      <c r="AF37" s="83"/>
      <c r="AG37" s="84"/>
      <c r="AI37" s="81"/>
      <c r="AJ37" s="82"/>
      <c r="AK37" s="83"/>
      <c r="AL37" s="83"/>
      <c r="AM37" s="84"/>
      <c r="AN37" s="57"/>
      <c r="AO37" s="81"/>
      <c r="AP37" s="82"/>
      <c r="AQ37" s="83"/>
      <c r="AR37" s="84"/>
    </row>
    <row r="38" spans="1:44" ht="14.1" customHeight="1" x14ac:dyDescent="0.2">
      <c r="A38" s="18"/>
      <c r="B38" s="18"/>
      <c r="C38" s="18"/>
      <c r="D38" s="19"/>
      <c r="E38" s="19"/>
      <c r="F38" s="19"/>
      <c r="G38" s="19"/>
      <c r="H38" s="19"/>
      <c r="I38" s="19"/>
      <c r="J38" s="18"/>
      <c r="L38" s="64"/>
      <c r="M38" s="69"/>
      <c r="N38" s="66"/>
      <c r="O38" s="66"/>
      <c r="P38" s="68"/>
      <c r="R38" s="64"/>
      <c r="S38" s="69"/>
      <c r="T38" s="66"/>
      <c r="U38" s="66"/>
      <c r="V38" s="68"/>
      <c r="X38" s="64"/>
      <c r="Y38" s="69"/>
      <c r="Z38" s="66"/>
      <c r="AA38" s="68"/>
      <c r="AC38" s="64"/>
      <c r="AD38" s="69"/>
      <c r="AE38" s="66"/>
      <c r="AF38" s="66"/>
      <c r="AG38" s="68"/>
      <c r="AI38" s="64"/>
      <c r="AJ38" s="69"/>
      <c r="AK38" s="66"/>
      <c r="AL38" s="66"/>
      <c r="AM38" s="68"/>
      <c r="AO38" s="64"/>
      <c r="AP38" s="69"/>
      <c r="AQ38" s="66"/>
      <c r="AR38" s="68"/>
    </row>
    <row r="39" spans="1:44" s="41" customFormat="1" ht="14.1" customHeight="1" x14ac:dyDescent="0.2">
      <c r="A39" s="21"/>
      <c r="B39" s="21" t="s">
        <v>28</v>
      </c>
      <c r="C39" s="21"/>
      <c r="D39" s="40"/>
      <c r="E39" s="40"/>
      <c r="F39" s="40"/>
      <c r="G39" s="40"/>
      <c r="H39" s="40"/>
      <c r="I39" s="40"/>
      <c r="J39" s="21"/>
      <c r="L39" s="70"/>
      <c r="M39" s="71"/>
      <c r="N39" s="72"/>
      <c r="O39" s="72"/>
      <c r="P39" s="73"/>
      <c r="R39" s="70"/>
      <c r="S39" s="71"/>
      <c r="T39" s="72"/>
      <c r="U39" s="72"/>
      <c r="V39" s="73"/>
      <c r="W39" s="55"/>
      <c r="X39" s="70"/>
      <c r="Y39" s="71"/>
      <c r="Z39" s="72"/>
      <c r="AA39" s="73"/>
      <c r="AC39" s="70"/>
      <c r="AD39" s="71"/>
      <c r="AE39" s="72"/>
      <c r="AF39" s="72"/>
      <c r="AG39" s="73"/>
      <c r="AI39" s="70"/>
      <c r="AJ39" s="71"/>
      <c r="AK39" s="72"/>
      <c r="AL39" s="72"/>
      <c r="AM39" s="73"/>
      <c r="AN39" s="55"/>
      <c r="AO39" s="70"/>
      <c r="AP39" s="71"/>
      <c r="AQ39" s="72"/>
      <c r="AR39" s="73"/>
    </row>
    <row r="40" spans="1:44" ht="14.1" customHeight="1" x14ac:dyDescent="0.2">
      <c r="A40" s="18"/>
      <c r="B40" s="18" t="s">
        <v>74</v>
      </c>
      <c r="C40" s="18"/>
      <c r="D40" s="19" t="e">
        <f t="shared" ref="D40:D45" si="38">+P40</f>
        <v>#REF!</v>
      </c>
      <c r="E40" s="19" t="e">
        <f t="shared" ref="E40:E45" si="39">+V40</f>
        <v>#REF!</v>
      </c>
      <c r="F40" s="19" t="e">
        <f t="shared" ref="F40:F45" si="40">+AA40</f>
        <v>#REF!</v>
      </c>
      <c r="G40" s="19" t="e">
        <f t="shared" ref="G40:G45" si="41">+AG40</f>
        <v>#REF!</v>
      </c>
      <c r="H40" s="19" t="e">
        <f t="shared" ref="H40:H45" si="42">+AM40</f>
        <v>#REF!</v>
      </c>
      <c r="I40" s="19" t="e">
        <f t="shared" ref="I40:I45" si="43">+AR40</f>
        <v>#REF!</v>
      </c>
      <c r="J40" s="18"/>
      <c r="L40" s="79"/>
      <c r="M40" s="66" t="e">
        <f>+#REF!</f>
        <v>#REF!</v>
      </c>
      <c r="N40" s="75"/>
      <c r="O40" s="75"/>
      <c r="P40" s="99" t="e">
        <f t="shared" ref="P40:P46" si="44">+L40+O40-N40+M40</f>
        <v>#REF!</v>
      </c>
      <c r="R40" s="79"/>
      <c r="S40" s="66" t="e">
        <f>+#REF!</f>
        <v>#REF!</v>
      </c>
      <c r="T40" s="75"/>
      <c r="U40" s="75"/>
      <c r="V40" s="68" t="e">
        <f t="shared" ref="V40:V46" si="45">+R40+U40-T40+S40</f>
        <v>#REF!</v>
      </c>
      <c r="X40" s="79"/>
      <c r="Y40" s="66" t="e">
        <f>+#REF!</f>
        <v>#REF!</v>
      </c>
      <c r="Z40" s="66" t="e">
        <f>+#REF!-#REF!</f>
        <v>#REF!</v>
      </c>
      <c r="AA40" s="68" t="e">
        <f t="shared" ref="AA40:AA46" si="46">+X40+Z40-T40+Y40</f>
        <v>#REF!</v>
      </c>
      <c r="AC40" s="79"/>
      <c r="AD40" s="66" t="e">
        <f>+#REF!</f>
        <v>#REF!</v>
      </c>
      <c r="AE40" s="97" t="e">
        <f>+#REF!-#REF!</f>
        <v>#REF!</v>
      </c>
      <c r="AF40" s="97" t="e">
        <f>+#REF!-#REF!</f>
        <v>#REF!</v>
      </c>
      <c r="AG40" s="99" t="e">
        <f t="shared" ref="AG40:AG46" si="47">+AC40+AF40-AE40+AD40</f>
        <v>#REF!</v>
      </c>
      <c r="AI40" s="79"/>
      <c r="AJ40" s="66" t="e">
        <f>+#REF!</f>
        <v>#REF!</v>
      </c>
      <c r="AK40" s="66" t="e">
        <f>+#REF!-#REF!</f>
        <v>#REF!</v>
      </c>
      <c r="AL40" s="66" t="e">
        <f>+#REF!-#REF!</f>
        <v>#REF!</v>
      </c>
      <c r="AM40" s="68" t="e">
        <f t="shared" ref="AM40:AM46" si="48">+AI40+AL40-AK40+AJ40</f>
        <v>#REF!</v>
      </c>
      <c r="AO40" s="79"/>
      <c r="AP40" s="66" t="e">
        <f>+#REF!</f>
        <v>#REF!</v>
      </c>
      <c r="AQ40" s="66" t="e">
        <f>+#REF!-#REF!</f>
        <v>#REF!</v>
      </c>
      <c r="AR40" s="68" t="e">
        <f t="shared" ref="AR40:AR46" si="49">+AO40+AQ40-AK40+AP40</f>
        <v>#REF!</v>
      </c>
    </row>
    <row r="41" spans="1:44" ht="14.1" customHeight="1" x14ac:dyDescent="0.2">
      <c r="A41" s="18"/>
      <c r="B41" s="18" t="s">
        <v>75</v>
      </c>
      <c r="C41" s="18"/>
      <c r="D41" s="19" t="e">
        <f t="shared" si="38"/>
        <v>#REF!</v>
      </c>
      <c r="E41" s="19" t="e">
        <f t="shared" si="39"/>
        <v>#REF!</v>
      </c>
      <c r="F41" s="19" t="e">
        <f t="shared" si="40"/>
        <v>#REF!</v>
      </c>
      <c r="G41" s="19" t="e">
        <f t="shared" si="41"/>
        <v>#REF!</v>
      </c>
      <c r="H41" s="19" t="e">
        <f t="shared" si="42"/>
        <v>#REF!</v>
      </c>
      <c r="I41" s="19" t="e">
        <f t="shared" si="43"/>
        <v>#REF!</v>
      </c>
      <c r="J41" s="18"/>
      <c r="L41" s="79"/>
      <c r="M41" s="66" t="e">
        <f>+#REF!</f>
        <v>#REF!</v>
      </c>
      <c r="N41" s="75"/>
      <c r="O41" s="75"/>
      <c r="P41" s="99" t="e">
        <f t="shared" si="44"/>
        <v>#REF!</v>
      </c>
      <c r="R41" s="79"/>
      <c r="S41" s="66" t="e">
        <f>+#REF!</f>
        <v>#REF!</v>
      </c>
      <c r="T41" s="75"/>
      <c r="U41" s="75"/>
      <c r="V41" s="68" t="e">
        <f t="shared" si="45"/>
        <v>#REF!</v>
      </c>
      <c r="X41" s="79"/>
      <c r="Y41" s="66" t="e">
        <f>+#REF!</f>
        <v>#REF!</v>
      </c>
      <c r="Z41" s="75"/>
      <c r="AA41" s="68" t="e">
        <f t="shared" si="46"/>
        <v>#REF!</v>
      </c>
      <c r="AC41" s="79"/>
      <c r="AD41" s="66" t="e">
        <f>+#REF!</f>
        <v>#REF!</v>
      </c>
      <c r="AE41" s="75"/>
      <c r="AF41" s="75"/>
      <c r="AG41" s="99" t="e">
        <f t="shared" si="47"/>
        <v>#REF!</v>
      </c>
      <c r="AI41" s="79"/>
      <c r="AJ41" s="66" t="e">
        <f>+#REF!</f>
        <v>#REF!</v>
      </c>
      <c r="AK41" s="75"/>
      <c r="AL41" s="75"/>
      <c r="AM41" s="68" t="e">
        <f t="shared" si="48"/>
        <v>#REF!</v>
      </c>
      <c r="AO41" s="79"/>
      <c r="AP41" s="66" t="e">
        <f>+#REF!</f>
        <v>#REF!</v>
      </c>
      <c r="AQ41" s="75"/>
      <c r="AR41" s="68" t="e">
        <f t="shared" si="49"/>
        <v>#REF!</v>
      </c>
    </row>
    <row r="42" spans="1:44" ht="14.1" customHeight="1" x14ac:dyDescent="0.2">
      <c r="A42" s="18"/>
      <c r="B42" s="18" t="s">
        <v>57</v>
      </c>
      <c r="C42" s="18"/>
      <c r="D42" s="19" t="e">
        <f t="shared" si="38"/>
        <v>#REF!</v>
      </c>
      <c r="E42" s="19" t="e">
        <f t="shared" si="39"/>
        <v>#REF!</v>
      </c>
      <c r="F42" s="19" t="e">
        <f t="shared" si="40"/>
        <v>#REF!</v>
      </c>
      <c r="G42" s="19" t="e">
        <f t="shared" si="41"/>
        <v>#REF!</v>
      </c>
      <c r="H42" s="19" t="e">
        <f t="shared" si="42"/>
        <v>#REF!</v>
      </c>
      <c r="I42" s="19" t="e">
        <f t="shared" si="43"/>
        <v>#REF!</v>
      </c>
      <c r="J42" s="18"/>
      <c r="L42" s="79"/>
      <c r="M42" s="97" t="e">
        <f>+#REF!</f>
        <v>#REF!</v>
      </c>
      <c r="N42" s="75"/>
      <c r="O42" s="75"/>
      <c r="P42" s="99" t="e">
        <f t="shared" si="44"/>
        <v>#REF!</v>
      </c>
      <c r="R42" s="79"/>
      <c r="S42" s="97" t="e">
        <f>+#REF!</f>
        <v>#REF!</v>
      </c>
      <c r="T42" s="75"/>
      <c r="U42" s="75"/>
      <c r="V42" s="68" t="e">
        <f t="shared" si="45"/>
        <v>#REF!</v>
      </c>
      <c r="X42" s="79"/>
      <c r="Y42" s="97" t="e">
        <f>+#REF!</f>
        <v>#REF!</v>
      </c>
      <c r="Z42" s="75"/>
      <c r="AA42" s="68" t="e">
        <f t="shared" si="46"/>
        <v>#REF!</v>
      </c>
      <c r="AC42" s="79"/>
      <c r="AD42" s="97" t="e">
        <f>+#REF!</f>
        <v>#REF!</v>
      </c>
      <c r="AE42" s="75"/>
      <c r="AF42" s="75"/>
      <c r="AG42" s="99" t="e">
        <f t="shared" si="47"/>
        <v>#REF!</v>
      </c>
      <c r="AI42" s="79"/>
      <c r="AJ42" s="97" t="e">
        <f>+#REF!</f>
        <v>#REF!</v>
      </c>
      <c r="AK42" s="75"/>
      <c r="AL42" s="75"/>
      <c r="AM42" s="68" t="e">
        <f t="shared" si="48"/>
        <v>#REF!</v>
      </c>
      <c r="AO42" s="79"/>
      <c r="AP42" s="97" t="e">
        <f>+#REF!</f>
        <v>#REF!</v>
      </c>
      <c r="AQ42" s="75"/>
      <c r="AR42" s="68" t="e">
        <f t="shared" si="49"/>
        <v>#REF!</v>
      </c>
    </row>
    <row r="43" spans="1:44" ht="14.1" customHeight="1" x14ac:dyDescent="0.2">
      <c r="A43" s="18"/>
      <c r="B43" s="18" t="s">
        <v>76</v>
      </c>
      <c r="C43" s="18"/>
      <c r="D43" s="19" t="e">
        <f t="shared" si="38"/>
        <v>#REF!</v>
      </c>
      <c r="E43" s="19" t="e">
        <f t="shared" si="39"/>
        <v>#REF!</v>
      </c>
      <c r="F43" s="19" t="e">
        <f t="shared" si="40"/>
        <v>#REF!</v>
      </c>
      <c r="G43" s="19" t="e">
        <f t="shared" si="41"/>
        <v>#REF!</v>
      </c>
      <c r="H43" s="19" t="e">
        <f t="shared" si="42"/>
        <v>#REF!</v>
      </c>
      <c r="I43" s="19" t="e">
        <f t="shared" si="43"/>
        <v>#REF!</v>
      </c>
      <c r="J43" s="18"/>
      <c r="L43" s="85" t="e">
        <f>+'Result(P)'!#REF!+'Result(P)'!#REF!</f>
        <v>#REF!</v>
      </c>
      <c r="M43" s="98" t="e">
        <f>+#REF!</f>
        <v>#REF!</v>
      </c>
      <c r="N43" s="98" t="e">
        <f>+#REF!</f>
        <v>#REF!</v>
      </c>
      <c r="O43" s="98" t="e">
        <f>+#REF!</f>
        <v>#REF!</v>
      </c>
      <c r="P43" s="99" t="e">
        <f t="shared" si="44"/>
        <v>#REF!</v>
      </c>
      <c r="R43" s="85" t="e">
        <f>+'Result(P)'!#REF!+'Result(P)'!#REF!</f>
        <v>#REF!</v>
      </c>
      <c r="S43" s="98" t="e">
        <f>+#REF!</f>
        <v>#REF!</v>
      </c>
      <c r="T43" s="59" t="e">
        <f>+#REF!</f>
        <v>#REF!</v>
      </c>
      <c r="U43" s="59" t="e">
        <f>+#REF!</f>
        <v>#REF!</v>
      </c>
      <c r="V43" s="68" t="e">
        <f t="shared" si="45"/>
        <v>#REF!</v>
      </c>
      <c r="X43" s="85" t="e">
        <f>+'Result(P)'!#REF!+'Result(P)'!#REF!</f>
        <v>#REF!</v>
      </c>
      <c r="Y43" s="98" t="e">
        <f>+#REF!</f>
        <v>#REF!</v>
      </c>
      <c r="Z43" s="59" t="e">
        <f>+#REF!</f>
        <v>#REF!</v>
      </c>
      <c r="AA43" s="86" t="e">
        <f t="shared" si="46"/>
        <v>#REF!</v>
      </c>
      <c r="AC43" s="85" t="e">
        <f>+'Result(P)'!#REF!+'Result(P)'!#REF!</f>
        <v>#REF!</v>
      </c>
      <c r="AD43" s="98" t="e">
        <f>+#REF!</f>
        <v>#REF!</v>
      </c>
      <c r="AE43" s="98" t="e">
        <f>+#REF!</f>
        <v>#REF!</v>
      </c>
      <c r="AF43" s="98" t="e">
        <f>+#REF!</f>
        <v>#REF!</v>
      </c>
      <c r="AG43" s="99" t="e">
        <f t="shared" si="47"/>
        <v>#REF!</v>
      </c>
      <c r="AI43" s="85" t="e">
        <f>+'Result(P)'!#REF!+'Result(P)'!#REF!</f>
        <v>#REF!</v>
      </c>
      <c r="AJ43" s="98" t="e">
        <f>+#REF!</f>
        <v>#REF!</v>
      </c>
      <c r="AK43" s="59" t="e">
        <f>+#REF!</f>
        <v>#REF!</v>
      </c>
      <c r="AL43" s="59" t="e">
        <f>+#REF!</f>
        <v>#REF!</v>
      </c>
      <c r="AM43" s="68" t="e">
        <f t="shared" si="48"/>
        <v>#REF!</v>
      </c>
      <c r="AO43" s="85" t="e">
        <f>+'Result(P)'!#REF!+'Result(P)'!#REF!</f>
        <v>#REF!</v>
      </c>
      <c r="AP43" s="98" t="e">
        <f>+#REF!</f>
        <v>#REF!</v>
      </c>
      <c r="AQ43" s="59" t="e">
        <f>+#REF!</f>
        <v>#REF!</v>
      </c>
      <c r="AR43" s="86" t="e">
        <f t="shared" si="49"/>
        <v>#REF!</v>
      </c>
    </row>
    <row r="44" spans="1:44" ht="14.1" customHeight="1" x14ac:dyDescent="0.2">
      <c r="A44" s="18"/>
      <c r="B44" s="18" t="s">
        <v>58</v>
      </c>
      <c r="C44" s="18"/>
      <c r="D44" s="19" t="e">
        <f t="shared" si="38"/>
        <v>#REF!</v>
      </c>
      <c r="E44" s="19" t="e">
        <f t="shared" si="39"/>
        <v>#REF!</v>
      </c>
      <c r="F44" s="19" t="e">
        <f t="shared" si="40"/>
        <v>#REF!</v>
      </c>
      <c r="G44" s="19" t="e">
        <f t="shared" si="41"/>
        <v>#REF!</v>
      </c>
      <c r="H44" s="19" t="e">
        <f t="shared" si="42"/>
        <v>#REF!</v>
      </c>
      <c r="I44" s="19" t="e">
        <f t="shared" si="43"/>
        <v>#REF!</v>
      </c>
      <c r="J44" s="18"/>
      <c r="L44" s="85" t="e">
        <f>+'Result(P)'!#REF!+'Result(P)'!#REF!+'Result(P)'!#REF!+'Result(P)'!#REF!</f>
        <v>#REF!</v>
      </c>
      <c r="M44" s="98" t="e">
        <f>+#REF!</f>
        <v>#REF!</v>
      </c>
      <c r="N44" s="91"/>
      <c r="O44" s="91"/>
      <c r="P44" s="100" t="e">
        <f t="shared" si="44"/>
        <v>#REF!</v>
      </c>
      <c r="R44" s="85" t="e">
        <f>+'Result(P)'!#REF!+'Result(P)'!#REF!+'Result(P)'!#REF!+'Result(P)'!#REF!</f>
        <v>#REF!</v>
      </c>
      <c r="S44" s="98" t="e">
        <f>+#REF!</f>
        <v>#REF!</v>
      </c>
      <c r="T44" s="91"/>
      <c r="U44" s="91"/>
      <c r="V44" s="86" t="e">
        <f t="shared" si="45"/>
        <v>#REF!</v>
      </c>
      <c r="W44" s="58"/>
      <c r="X44" s="85" t="e">
        <f>+'Result(P)'!#REF!+'Result(P)'!#REF!+'Result(P)'!#REF!+'Result(P)'!#REF!</f>
        <v>#REF!</v>
      </c>
      <c r="Y44" s="98" t="e">
        <f>+#REF!</f>
        <v>#REF!</v>
      </c>
      <c r="Z44" s="91"/>
      <c r="AA44" s="86" t="e">
        <f t="shared" si="46"/>
        <v>#REF!</v>
      </c>
      <c r="AC44" s="85" t="e">
        <f>+'Result(P)'!#REF!+'Result(P)'!#REF!+'Result(P)'!#REF!+'Result(P)'!#REF!</f>
        <v>#REF!</v>
      </c>
      <c r="AD44" s="98" t="e">
        <f>+#REF!</f>
        <v>#REF!</v>
      </c>
      <c r="AE44" s="91"/>
      <c r="AF44" s="91"/>
      <c r="AG44" s="100" t="e">
        <f t="shared" si="47"/>
        <v>#REF!</v>
      </c>
      <c r="AI44" s="85" t="e">
        <f>+'Result(P)'!#REF!+'Result(P)'!#REF!+'Result(P)'!#REF!+'Result(P)'!#REF!</f>
        <v>#REF!</v>
      </c>
      <c r="AJ44" s="98" t="e">
        <f>+#REF!</f>
        <v>#REF!</v>
      </c>
      <c r="AK44" s="91"/>
      <c r="AL44" s="91"/>
      <c r="AM44" s="86" t="e">
        <f t="shared" si="48"/>
        <v>#REF!</v>
      </c>
      <c r="AN44" s="58"/>
      <c r="AO44" s="85" t="e">
        <f>+'Result(P)'!#REF!+'Result(P)'!#REF!+'Result(P)'!#REF!+'Result(P)'!#REF!</f>
        <v>#REF!</v>
      </c>
      <c r="AP44" s="98" t="e">
        <f>+#REF!</f>
        <v>#REF!</v>
      </c>
      <c r="AQ44" s="91"/>
      <c r="AR44" s="86" t="e">
        <f t="shared" si="49"/>
        <v>#REF!</v>
      </c>
    </row>
    <row r="45" spans="1:44" ht="14.1" customHeight="1" x14ac:dyDescent="0.2">
      <c r="A45" s="18"/>
      <c r="B45" s="18" t="s">
        <v>81</v>
      </c>
      <c r="C45" s="18"/>
      <c r="D45" s="19" t="e">
        <f t="shared" si="38"/>
        <v>#REF!</v>
      </c>
      <c r="E45" s="19" t="e">
        <f t="shared" si="39"/>
        <v>#REF!</v>
      </c>
      <c r="F45" s="19" t="e">
        <f t="shared" si="40"/>
        <v>#REF!</v>
      </c>
      <c r="G45" s="19" t="e">
        <f t="shared" si="41"/>
        <v>#REF!</v>
      </c>
      <c r="H45" s="19" t="e">
        <f t="shared" si="42"/>
        <v>#REF!</v>
      </c>
      <c r="I45" s="19" t="e">
        <f t="shared" si="43"/>
        <v>#REF!</v>
      </c>
      <c r="J45" s="18"/>
      <c r="L45" s="79"/>
      <c r="M45" s="97" t="e">
        <f>#REF!</f>
        <v>#REF!</v>
      </c>
      <c r="N45" s="75"/>
      <c r="O45" s="75"/>
      <c r="P45" s="99" t="e">
        <f t="shared" si="44"/>
        <v>#REF!</v>
      </c>
      <c r="R45" s="79"/>
      <c r="S45" s="97" t="e">
        <f>#REF!</f>
        <v>#REF!</v>
      </c>
      <c r="T45" s="75"/>
      <c r="U45" s="75"/>
      <c r="V45" s="68" t="e">
        <f t="shared" si="45"/>
        <v>#REF!</v>
      </c>
      <c r="X45" s="79"/>
      <c r="Y45" s="97" t="e">
        <f>#REF!</f>
        <v>#REF!</v>
      </c>
      <c r="Z45" s="75"/>
      <c r="AA45" s="68" t="e">
        <f>+X45+Z45-T45+Y45</f>
        <v>#REF!</v>
      </c>
      <c r="AC45" s="79"/>
      <c r="AD45" s="97" t="e">
        <f>#REF!</f>
        <v>#REF!</v>
      </c>
      <c r="AE45" s="75"/>
      <c r="AF45" s="75"/>
      <c r="AG45" s="99" t="e">
        <f t="shared" si="47"/>
        <v>#REF!</v>
      </c>
      <c r="AI45" s="79"/>
      <c r="AJ45" s="97" t="e">
        <f>#REF!</f>
        <v>#REF!</v>
      </c>
      <c r="AK45" s="75"/>
      <c r="AL45" s="75"/>
      <c r="AM45" s="68" t="e">
        <f t="shared" si="48"/>
        <v>#REF!</v>
      </c>
      <c r="AO45" s="79"/>
      <c r="AP45" s="97" t="e">
        <f>#REF!</f>
        <v>#REF!</v>
      </c>
      <c r="AQ45" s="75"/>
      <c r="AR45" s="68" t="e">
        <f t="shared" si="49"/>
        <v>#REF!</v>
      </c>
    </row>
    <row r="46" spans="1:44" ht="14.1" customHeight="1" x14ac:dyDescent="0.35">
      <c r="A46" s="18"/>
      <c r="B46" s="18" t="s">
        <v>55</v>
      </c>
      <c r="C46" s="18"/>
      <c r="D46" s="45">
        <v>0</v>
      </c>
      <c r="E46" s="45">
        <v>0</v>
      </c>
      <c r="F46" s="24">
        <f>+D46+E46</f>
        <v>0</v>
      </c>
      <c r="G46" s="45">
        <v>0</v>
      </c>
      <c r="H46" s="45">
        <v>0</v>
      </c>
      <c r="I46" s="24">
        <f>+G46+H46</f>
        <v>0</v>
      </c>
      <c r="J46" s="18"/>
      <c r="L46" s="85">
        <f>+D46</f>
        <v>0</v>
      </c>
      <c r="M46" s="91"/>
      <c r="N46" s="91"/>
      <c r="O46" s="91"/>
      <c r="P46" s="100">
        <f t="shared" si="44"/>
        <v>0</v>
      </c>
      <c r="R46" s="85">
        <f>+E46</f>
        <v>0</v>
      </c>
      <c r="S46" s="91"/>
      <c r="T46" s="91"/>
      <c r="U46" s="91"/>
      <c r="V46" s="86">
        <f t="shared" si="45"/>
        <v>0</v>
      </c>
      <c r="W46" s="58"/>
      <c r="X46" s="85">
        <f>+F46</f>
        <v>0</v>
      </c>
      <c r="Y46" s="91"/>
      <c r="Z46" s="91"/>
      <c r="AA46" s="86">
        <f t="shared" si="46"/>
        <v>0</v>
      </c>
      <c r="AC46" s="85">
        <f>+G46</f>
        <v>0</v>
      </c>
      <c r="AD46" s="91"/>
      <c r="AE46" s="91"/>
      <c r="AF46" s="91"/>
      <c r="AG46" s="100">
        <f t="shared" si="47"/>
        <v>0</v>
      </c>
      <c r="AI46" s="85">
        <f>+H46</f>
        <v>0</v>
      </c>
      <c r="AJ46" s="91"/>
      <c r="AK46" s="91"/>
      <c r="AL46" s="91"/>
      <c r="AM46" s="86">
        <f t="shared" si="48"/>
        <v>0</v>
      </c>
      <c r="AN46" s="58"/>
      <c r="AO46" s="85">
        <f>+I46</f>
        <v>0</v>
      </c>
      <c r="AP46" s="91"/>
      <c r="AQ46" s="91"/>
      <c r="AR46" s="86">
        <f t="shared" si="49"/>
        <v>0</v>
      </c>
    </row>
    <row r="47" spans="1:44" s="23" customFormat="1" ht="14.1" customHeight="1" x14ac:dyDescent="0.2">
      <c r="A47" s="20"/>
      <c r="B47" s="20" t="s">
        <v>29</v>
      </c>
      <c r="C47" s="20"/>
      <c r="D47" s="22" t="e">
        <f t="shared" ref="D47:I47" si="50">SUM(D40:D46)</f>
        <v>#REF!</v>
      </c>
      <c r="E47" s="22" t="e">
        <f t="shared" si="50"/>
        <v>#REF!</v>
      </c>
      <c r="F47" s="22" t="e">
        <f t="shared" si="50"/>
        <v>#REF!</v>
      </c>
      <c r="G47" s="22" t="e">
        <f t="shared" si="50"/>
        <v>#REF!</v>
      </c>
      <c r="H47" s="22" t="e">
        <f t="shared" si="50"/>
        <v>#REF!</v>
      </c>
      <c r="I47" s="22" t="e">
        <f t="shared" si="50"/>
        <v>#REF!</v>
      </c>
      <c r="J47" s="20"/>
      <c r="L47" s="85"/>
      <c r="M47" s="59"/>
      <c r="N47" s="59"/>
      <c r="O47" s="59"/>
      <c r="P47" s="86"/>
      <c r="R47" s="85"/>
      <c r="S47" s="59"/>
      <c r="T47" s="59"/>
      <c r="U47" s="59"/>
      <c r="V47" s="86"/>
      <c r="W47" s="58"/>
      <c r="X47" s="85"/>
      <c r="Y47" s="59"/>
      <c r="Z47" s="59"/>
      <c r="AA47" s="86"/>
      <c r="AC47" s="85"/>
      <c r="AD47" s="59"/>
      <c r="AE47" s="59"/>
      <c r="AF47" s="59"/>
      <c r="AG47" s="86"/>
      <c r="AI47" s="85"/>
      <c r="AJ47" s="59"/>
      <c r="AK47" s="59"/>
      <c r="AL47" s="59"/>
      <c r="AM47" s="86"/>
      <c r="AN47" s="58"/>
      <c r="AO47" s="85"/>
      <c r="AP47" s="59"/>
      <c r="AQ47" s="59"/>
      <c r="AR47" s="86"/>
    </row>
    <row r="48" spans="1:44" ht="14.1" customHeight="1" x14ac:dyDescent="0.2">
      <c r="A48" s="18"/>
      <c r="B48" s="18"/>
      <c r="C48" s="18"/>
      <c r="D48" s="19"/>
      <c r="E48" s="19"/>
      <c r="F48" s="19"/>
      <c r="G48" s="19"/>
      <c r="H48" s="19"/>
      <c r="I48" s="19"/>
      <c r="J48" s="18"/>
      <c r="L48" s="85"/>
      <c r="M48" s="59"/>
      <c r="N48" s="59"/>
      <c r="O48" s="59"/>
      <c r="P48" s="86"/>
      <c r="R48" s="85"/>
      <c r="S48" s="59"/>
      <c r="T48" s="59"/>
      <c r="U48" s="59"/>
      <c r="V48" s="86"/>
      <c r="W48" s="58"/>
      <c r="X48" s="85"/>
      <c r="Y48" s="59"/>
      <c r="Z48" s="59"/>
      <c r="AA48" s="86"/>
      <c r="AC48" s="85"/>
      <c r="AD48" s="59"/>
      <c r="AE48" s="59"/>
      <c r="AF48" s="59"/>
      <c r="AG48" s="86"/>
      <c r="AI48" s="85"/>
      <c r="AJ48" s="59"/>
      <c r="AK48" s="59"/>
      <c r="AL48" s="59"/>
      <c r="AM48" s="86"/>
      <c r="AN48" s="58"/>
      <c r="AO48" s="85"/>
      <c r="AP48" s="59"/>
      <c r="AQ48" s="59"/>
      <c r="AR48" s="86"/>
    </row>
    <row r="49" spans="1:44" ht="14.1" customHeight="1" x14ac:dyDescent="0.2">
      <c r="A49" s="18"/>
      <c r="B49" s="21" t="s">
        <v>30</v>
      </c>
      <c r="C49" s="21"/>
      <c r="D49" s="19"/>
      <c r="E49" s="19"/>
      <c r="F49" s="19"/>
      <c r="G49" s="19"/>
      <c r="H49" s="19"/>
      <c r="I49" s="19"/>
      <c r="J49" s="18"/>
      <c r="L49" s="85"/>
      <c r="M49" s="59"/>
      <c r="N49" s="59"/>
      <c r="O49" s="59"/>
      <c r="P49" s="86"/>
      <c r="R49" s="85"/>
      <c r="S49" s="59"/>
      <c r="T49" s="59"/>
      <c r="U49" s="59"/>
      <c r="V49" s="86"/>
      <c r="W49" s="58"/>
      <c r="X49" s="85"/>
      <c r="Y49" s="59"/>
      <c r="Z49" s="59"/>
      <c r="AA49" s="86"/>
      <c r="AC49" s="85"/>
      <c r="AD49" s="59"/>
      <c r="AE49" s="59"/>
      <c r="AF49" s="59"/>
      <c r="AG49" s="86"/>
      <c r="AI49" s="85"/>
      <c r="AJ49" s="59"/>
      <c r="AK49" s="59"/>
      <c r="AL49" s="59"/>
      <c r="AM49" s="86"/>
      <c r="AN49" s="58"/>
      <c r="AO49" s="85"/>
      <c r="AP49" s="59"/>
      <c r="AQ49" s="59"/>
      <c r="AR49" s="86"/>
    </row>
    <row r="50" spans="1:44" ht="14.1" customHeight="1" x14ac:dyDescent="0.2">
      <c r="A50" s="18"/>
      <c r="B50" s="18" t="s">
        <v>56</v>
      </c>
      <c r="C50" s="18"/>
      <c r="D50" s="19" t="e">
        <f>+P50</f>
        <v>#REF!</v>
      </c>
      <c r="E50" s="19" t="e">
        <f>+V50</f>
        <v>#REF!</v>
      </c>
      <c r="F50" s="19" t="e">
        <f>+AA50</f>
        <v>#REF!</v>
      </c>
      <c r="G50" s="19" t="e">
        <f>+AG50</f>
        <v>#REF!</v>
      </c>
      <c r="H50" s="19" t="e">
        <f>+AM50</f>
        <v>#REF!</v>
      </c>
      <c r="I50" s="19" t="e">
        <f>+AR50</f>
        <v>#REF!</v>
      </c>
      <c r="J50" s="18"/>
      <c r="L50" s="92"/>
      <c r="M50" s="59" t="e">
        <f>+#REF!</f>
        <v>#REF!</v>
      </c>
      <c r="N50" s="91"/>
      <c r="O50" s="91"/>
      <c r="P50" s="86" t="e">
        <f>+L50+O50-N50+M50</f>
        <v>#REF!</v>
      </c>
      <c r="R50" s="92"/>
      <c r="S50" s="59" t="e">
        <f>+#REF!</f>
        <v>#REF!</v>
      </c>
      <c r="T50" s="91"/>
      <c r="U50" s="91"/>
      <c r="V50" s="86" t="e">
        <f>+R50+U50-T50+S50</f>
        <v>#REF!</v>
      </c>
      <c r="W50" s="58"/>
      <c r="X50" s="92"/>
      <c r="Y50" s="59" t="e">
        <f>+#REF!</f>
        <v>#REF!</v>
      </c>
      <c r="Z50" s="91"/>
      <c r="AA50" s="86" t="e">
        <f>+X50+Z50-T50+Y50</f>
        <v>#REF!</v>
      </c>
      <c r="AC50" s="92"/>
      <c r="AD50" s="59" t="e">
        <f>+#REF!</f>
        <v>#REF!</v>
      </c>
      <c r="AE50" s="91"/>
      <c r="AF50" s="91"/>
      <c r="AG50" s="86" t="e">
        <f>+AC50+AF50-AE50+AD50</f>
        <v>#REF!</v>
      </c>
      <c r="AI50" s="92"/>
      <c r="AJ50" s="59" t="e">
        <f>+#REF!</f>
        <v>#REF!</v>
      </c>
      <c r="AK50" s="91"/>
      <c r="AL50" s="91"/>
      <c r="AM50" s="86" t="e">
        <f>+AI50+AL50-AK50+AJ50</f>
        <v>#REF!</v>
      </c>
      <c r="AN50" s="58"/>
      <c r="AO50" s="92"/>
      <c r="AP50" s="59" t="e">
        <f>+#REF!</f>
        <v>#REF!</v>
      </c>
      <c r="AQ50" s="91"/>
      <c r="AR50" s="86" t="e">
        <f>+AO50+AQ50-AK50+AP50</f>
        <v>#REF!</v>
      </c>
    </row>
    <row r="51" spans="1:44" ht="14.1" hidden="1" customHeight="1" x14ac:dyDescent="0.2">
      <c r="A51" s="18"/>
      <c r="B51" s="18" t="s">
        <v>82</v>
      </c>
      <c r="C51" s="18"/>
      <c r="D51" s="19">
        <f>Mutações!J17</f>
        <v>0</v>
      </c>
      <c r="E51" s="19" t="e">
        <f>Mutações!#REF!</f>
        <v>#REF!</v>
      </c>
      <c r="F51" s="19" t="e">
        <f>Mutações!#REF!</f>
        <v>#REF!</v>
      </c>
      <c r="G51" s="19" t="e">
        <f>Mutações!#REF!</f>
        <v>#REF!</v>
      </c>
      <c r="H51" s="19" t="e">
        <f>Mutações!#REF!</f>
        <v>#REF!</v>
      </c>
      <c r="I51" s="19" t="e">
        <f>Mutações!#REF!</f>
        <v>#REF!</v>
      </c>
      <c r="J51" s="18"/>
      <c r="L51" s="92"/>
      <c r="M51" s="59" t="e">
        <f>+#REF!</f>
        <v>#REF!</v>
      </c>
      <c r="N51" s="91"/>
      <c r="O51" s="91"/>
      <c r="P51" s="86"/>
      <c r="R51" s="92"/>
      <c r="S51" s="59" t="e">
        <f>+#REF!</f>
        <v>#REF!</v>
      </c>
      <c r="T51" s="91"/>
      <c r="U51" s="91"/>
      <c r="V51" s="86"/>
      <c r="W51" s="58"/>
      <c r="X51" s="92"/>
      <c r="Y51" s="59" t="e">
        <f>+#REF!</f>
        <v>#REF!</v>
      </c>
      <c r="Z51" s="91"/>
      <c r="AA51" s="86"/>
      <c r="AC51" s="92"/>
      <c r="AD51" s="59" t="e">
        <f>+#REF!</f>
        <v>#REF!</v>
      </c>
      <c r="AE51" s="91"/>
      <c r="AF51" s="91"/>
      <c r="AG51" s="86"/>
      <c r="AI51" s="92"/>
      <c r="AJ51" s="59" t="e">
        <f>+#REF!</f>
        <v>#REF!</v>
      </c>
      <c r="AK51" s="91"/>
      <c r="AL51" s="91"/>
      <c r="AM51" s="86"/>
      <c r="AN51" s="58"/>
      <c r="AO51" s="92"/>
      <c r="AP51" s="59" t="e">
        <f>+#REF!</f>
        <v>#REF!</v>
      </c>
      <c r="AQ51" s="91"/>
      <c r="AR51" s="86"/>
    </row>
    <row r="52" spans="1:44" ht="14.1" customHeight="1" x14ac:dyDescent="0.2">
      <c r="A52" s="18"/>
      <c r="B52" s="18" t="e">
        <f>IF(#REF!="sim","Distribuição de Lucros e Juros de capital","Pagamento de Dividendos e Juros de capital")</f>
        <v>#REF!</v>
      </c>
      <c r="C52" s="18"/>
      <c r="D52" s="19" t="e">
        <f>+P52</f>
        <v>#REF!</v>
      </c>
      <c r="E52" s="19" t="e">
        <f>+V52</f>
        <v>#REF!</v>
      </c>
      <c r="F52" s="19" t="e">
        <f>+AA52</f>
        <v>#REF!</v>
      </c>
      <c r="G52" s="19" t="e">
        <f>+AG52</f>
        <v>#REF!</v>
      </c>
      <c r="H52" s="19" t="e">
        <f>+AM52</f>
        <v>#REF!</v>
      </c>
      <c r="I52" s="19" t="e">
        <f>+AR52</f>
        <v>#REF!</v>
      </c>
      <c r="J52" s="18"/>
      <c r="L52" s="85" t="e">
        <f>+'Result(P)'!#REF!</f>
        <v>#REF!</v>
      </c>
      <c r="M52" s="59" t="e">
        <f>+#REF!</f>
        <v>#REF!</v>
      </c>
      <c r="N52" s="59" t="e">
        <f>-#REF!</f>
        <v>#REF!</v>
      </c>
      <c r="O52" s="59" t="e">
        <f>-#REF!</f>
        <v>#REF!</v>
      </c>
      <c r="P52" s="68" t="e">
        <f>+L52+O52-N52+M52</f>
        <v>#REF!</v>
      </c>
      <c r="R52" s="85" t="e">
        <f>+'Result(P)'!#REF!</f>
        <v>#REF!</v>
      </c>
      <c r="S52" s="59" t="e">
        <f>+#REF!</f>
        <v>#REF!</v>
      </c>
      <c r="T52" s="59" t="e">
        <f>-#REF!</f>
        <v>#REF!</v>
      </c>
      <c r="U52" s="59" t="e">
        <f>-#REF!</f>
        <v>#REF!</v>
      </c>
      <c r="V52" s="68" t="e">
        <f>+R52+U52-T52+S52</f>
        <v>#REF!</v>
      </c>
      <c r="X52" s="85" t="e">
        <f>+'Result(P)'!#REF!</f>
        <v>#REF!</v>
      </c>
      <c r="Y52" s="59" t="e">
        <f>+#REF!</f>
        <v>#REF!</v>
      </c>
      <c r="Z52" s="59" t="e">
        <f>-#REF!</f>
        <v>#REF!</v>
      </c>
      <c r="AA52" s="68" t="e">
        <f>+X52+Z52-T52+Y52</f>
        <v>#REF!</v>
      </c>
      <c r="AC52" s="85" t="e">
        <f>+'Result(P)'!#REF!</f>
        <v>#REF!</v>
      </c>
      <c r="AD52" s="59" t="e">
        <f>+#REF!</f>
        <v>#REF!</v>
      </c>
      <c r="AE52" s="59" t="e">
        <f>-#REF!</f>
        <v>#REF!</v>
      </c>
      <c r="AF52" s="59" t="e">
        <f>-#REF!</f>
        <v>#REF!</v>
      </c>
      <c r="AG52" s="68" t="e">
        <f>+AC52+AF52-AE52+AD52</f>
        <v>#REF!</v>
      </c>
      <c r="AI52" s="85" t="e">
        <f>+'Result(P)'!#REF!</f>
        <v>#REF!</v>
      </c>
      <c r="AJ52" s="59" t="e">
        <f>+#REF!</f>
        <v>#REF!</v>
      </c>
      <c r="AK52" s="59" t="e">
        <f>-#REF!</f>
        <v>#REF!</v>
      </c>
      <c r="AL52" s="59" t="e">
        <f>-#REF!</f>
        <v>#REF!</v>
      </c>
      <c r="AM52" s="68" t="e">
        <f>+AI52+AL52-AK52+AJ52</f>
        <v>#REF!</v>
      </c>
      <c r="AO52" s="85" t="e">
        <f>+'Result(P)'!#REF!</f>
        <v>#REF!</v>
      </c>
      <c r="AP52" s="59" t="e">
        <f>+#REF!</f>
        <v>#REF!</v>
      </c>
      <c r="AQ52" s="59" t="e">
        <f>-#REF!</f>
        <v>#REF!</v>
      </c>
      <c r="AR52" s="68" t="e">
        <f>+AO52+AQ52-AK52+AP52</f>
        <v>#REF!</v>
      </c>
    </row>
    <row r="53" spans="1:44" ht="14.1" hidden="1" customHeight="1" x14ac:dyDescent="0.2">
      <c r="A53" s="18"/>
      <c r="B53" s="18" t="s">
        <v>77</v>
      </c>
      <c r="C53" s="18"/>
      <c r="D53" s="19" t="e">
        <f>+P53</f>
        <v>#REF!</v>
      </c>
      <c r="E53" s="19" t="e">
        <f>+V53</f>
        <v>#REF!</v>
      </c>
      <c r="F53" s="19" t="e">
        <f>+AA53</f>
        <v>#REF!</v>
      </c>
      <c r="G53" s="19" t="e">
        <f>+AG53</f>
        <v>#REF!</v>
      </c>
      <c r="H53" s="19" t="e">
        <f>+AM53</f>
        <v>#REF!</v>
      </c>
      <c r="I53" s="19" t="e">
        <f>+AR53</f>
        <v>#REF!</v>
      </c>
      <c r="J53" s="18"/>
      <c r="L53" s="87"/>
      <c r="M53" s="88" t="e">
        <f>+#REF!</f>
        <v>#REF!</v>
      </c>
      <c r="N53" s="89"/>
      <c r="O53" s="89"/>
      <c r="P53" s="90" t="e">
        <f>+L53+O53-N53+M53</f>
        <v>#REF!</v>
      </c>
      <c r="R53" s="87"/>
      <c r="S53" s="88" t="e">
        <f>+#REF!</f>
        <v>#REF!</v>
      </c>
      <c r="T53" s="89"/>
      <c r="U53" s="89"/>
      <c r="V53" s="90" t="e">
        <f>+R53+U53-T53+S53</f>
        <v>#REF!</v>
      </c>
      <c r="X53" s="87"/>
      <c r="Y53" s="88" t="e">
        <f>+#REF!</f>
        <v>#REF!</v>
      </c>
      <c r="Z53" s="89"/>
      <c r="AA53" s="90" t="e">
        <f>+X53+Z53-T53+Y53</f>
        <v>#REF!</v>
      </c>
      <c r="AC53" s="87"/>
      <c r="AD53" s="88" t="e">
        <f>+#REF!</f>
        <v>#REF!</v>
      </c>
      <c r="AE53" s="89"/>
      <c r="AF53" s="89"/>
      <c r="AG53" s="90" t="e">
        <f>+AC53+AF53-AE53+AD53</f>
        <v>#REF!</v>
      </c>
      <c r="AI53" s="87"/>
      <c r="AJ53" s="88" t="e">
        <f>+#REF!</f>
        <v>#REF!</v>
      </c>
      <c r="AK53" s="89"/>
      <c r="AL53" s="89"/>
      <c r="AM53" s="90" t="e">
        <f>+AI53+AL53-AK53+AJ53</f>
        <v>#REF!</v>
      </c>
      <c r="AO53" s="87"/>
      <c r="AP53" s="88" t="e">
        <f>+#REF!</f>
        <v>#REF!</v>
      </c>
      <c r="AQ53" s="89"/>
      <c r="AR53" s="90" t="e">
        <f>+AO53+AQ53-AK53+AP53</f>
        <v>#REF!</v>
      </c>
    </row>
    <row r="54" spans="1:44" s="23" customFormat="1" ht="14.1" customHeight="1" x14ac:dyDescent="0.2">
      <c r="A54" s="20"/>
      <c r="B54" s="20" t="s">
        <v>31</v>
      </c>
      <c r="C54" s="20"/>
      <c r="D54" s="22" t="e">
        <f t="shared" ref="D54:I54" si="51">SUM(D50:D53)</f>
        <v>#REF!</v>
      </c>
      <c r="E54" s="22" t="e">
        <f t="shared" si="51"/>
        <v>#REF!</v>
      </c>
      <c r="F54" s="22" t="e">
        <f t="shared" si="51"/>
        <v>#REF!</v>
      </c>
      <c r="G54" s="22" t="e">
        <f t="shared" si="51"/>
        <v>#REF!</v>
      </c>
      <c r="H54" s="22" t="e">
        <f t="shared" si="51"/>
        <v>#REF!</v>
      </c>
      <c r="I54" s="22" t="e">
        <f t="shared" si="51"/>
        <v>#REF!</v>
      </c>
      <c r="J54" s="20"/>
      <c r="K54" s="46"/>
      <c r="L54" s="93" t="e">
        <f>SUM(L10:L53)</f>
        <v>#REF!</v>
      </c>
      <c r="M54" s="58"/>
      <c r="N54" s="58"/>
      <c r="O54" s="58"/>
      <c r="P54" s="58"/>
      <c r="Q54" s="46"/>
      <c r="R54" s="93" t="e">
        <f>SUM(R10:R53)</f>
        <v>#REF!</v>
      </c>
      <c r="S54" s="58"/>
      <c r="T54" s="58"/>
      <c r="U54" s="58"/>
      <c r="V54" s="58"/>
      <c r="W54" s="58"/>
      <c r="X54" s="93" t="e">
        <f>SUM(X10:X53)</f>
        <v>#REF!</v>
      </c>
      <c r="Y54" s="58"/>
      <c r="Z54" s="58"/>
      <c r="AA54" s="58"/>
      <c r="AC54" s="93" t="e">
        <f>SUM(AC10:AC53)</f>
        <v>#REF!</v>
      </c>
      <c r="AD54" s="58"/>
      <c r="AE54" s="58"/>
      <c r="AF54" s="58"/>
      <c r="AG54" s="58"/>
      <c r="AH54" s="46"/>
      <c r="AI54" s="93" t="e">
        <f>SUM(AI10:AI53)</f>
        <v>#REF!</v>
      </c>
      <c r="AJ54" s="58"/>
      <c r="AK54" s="58"/>
      <c r="AL54" s="58"/>
      <c r="AM54" s="58"/>
      <c r="AN54" s="58"/>
      <c r="AO54" s="93" t="e">
        <f>SUM(AO10:AO53)</f>
        <v>#REF!</v>
      </c>
      <c r="AP54" s="58"/>
      <c r="AQ54" s="58"/>
      <c r="AR54" s="58"/>
    </row>
    <row r="55" spans="1:44" ht="14.1" customHeight="1" x14ac:dyDescent="0.2">
      <c r="A55" s="18"/>
      <c r="B55" s="18"/>
      <c r="C55" s="18"/>
      <c r="D55" s="19"/>
      <c r="E55" s="19"/>
      <c r="F55" s="19"/>
      <c r="G55" s="19"/>
      <c r="H55" s="19"/>
      <c r="I55" s="19"/>
      <c r="J55" s="18"/>
      <c r="K55" s="31"/>
      <c r="L55" s="58" t="e">
        <f>+'Result(P)'!#REF!</f>
        <v>#REF!</v>
      </c>
      <c r="M55" s="58"/>
      <c r="N55" s="58"/>
      <c r="O55" s="58"/>
      <c r="P55" s="58"/>
      <c r="Q55" s="31"/>
      <c r="R55" s="58" t="e">
        <f>+'Result(P)'!#REF!</f>
        <v>#REF!</v>
      </c>
      <c r="S55" s="58"/>
      <c r="T55" s="58"/>
      <c r="U55" s="58"/>
      <c r="V55" s="58"/>
      <c r="W55" s="58"/>
      <c r="X55" s="58" t="e">
        <f>+'Result(P)'!#REF!</f>
        <v>#REF!</v>
      </c>
      <c r="Y55" s="58"/>
      <c r="Z55" s="58"/>
      <c r="AA55" s="58"/>
      <c r="AC55" s="58" t="e">
        <f>+'Result(P)'!#REF!</f>
        <v>#REF!</v>
      </c>
      <c r="AD55" s="58"/>
      <c r="AE55" s="58"/>
      <c r="AF55" s="58"/>
      <c r="AG55" s="58"/>
      <c r="AH55" s="31"/>
      <c r="AI55" s="58" t="e">
        <f>+'Result(P)'!#REF!</f>
        <v>#REF!</v>
      </c>
      <c r="AJ55" s="58"/>
      <c r="AK55" s="58"/>
      <c r="AL55" s="58"/>
      <c r="AM55" s="58"/>
      <c r="AN55" s="58"/>
      <c r="AO55" s="58" t="e">
        <f>+'Result(P)'!#REF!</f>
        <v>#REF!</v>
      </c>
      <c r="AP55" s="58"/>
      <c r="AQ55" s="58"/>
      <c r="AR55" s="58"/>
    </row>
    <row r="56" spans="1:44" ht="14.1" customHeight="1" x14ac:dyDescent="0.2">
      <c r="A56" s="18"/>
      <c r="B56" s="18"/>
      <c r="C56" s="18"/>
      <c r="D56" s="19"/>
      <c r="E56" s="19"/>
      <c r="F56" s="19"/>
      <c r="G56" s="19"/>
      <c r="H56" s="19"/>
      <c r="I56" s="19"/>
      <c r="J56" s="18"/>
      <c r="K56" s="31"/>
      <c r="L56" s="58" t="e">
        <f>+L54+L55</f>
        <v>#REF!</v>
      </c>
      <c r="M56" s="58"/>
      <c r="N56" s="58"/>
      <c r="O56" s="58"/>
      <c r="P56" s="58"/>
      <c r="Q56" s="31"/>
      <c r="R56" s="58" t="e">
        <f>+R54+R55</f>
        <v>#REF!</v>
      </c>
      <c r="S56" s="58"/>
      <c r="T56" s="58"/>
      <c r="U56" s="58"/>
      <c r="V56" s="58"/>
      <c r="W56" s="58"/>
      <c r="X56" s="58" t="e">
        <f>+X54+X55</f>
        <v>#REF!</v>
      </c>
      <c r="Y56" s="58"/>
      <c r="Z56" s="58"/>
      <c r="AA56" s="58"/>
      <c r="AC56" s="58" t="e">
        <f>+AC54+AC55</f>
        <v>#REF!</v>
      </c>
      <c r="AD56" s="58"/>
      <c r="AE56" s="58"/>
      <c r="AF56" s="58"/>
      <c r="AG56" s="58"/>
      <c r="AH56" s="31"/>
      <c r="AI56" s="58" t="e">
        <f>+AI54+AI55</f>
        <v>#REF!</v>
      </c>
      <c r="AJ56" s="58"/>
      <c r="AK56" s="58"/>
      <c r="AL56" s="58"/>
      <c r="AM56" s="58"/>
      <c r="AN56" s="58"/>
      <c r="AO56" s="58" t="e">
        <f>+AO54+AO55</f>
        <v>#REF!</v>
      </c>
      <c r="AP56" s="58"/>
      <c r="AQ56" s="58"/>
      <c r="AR56" s="58"/>
    </row>
    <row r="57" spans="1:44" s="23" customFormat="1" ht="14.1" customHeight="1" x14ac:dyDescent="0.35">
      <c r="A57" s="25"/>
      <c r="B57" s="25" t="s">
        <v>32</v>
      </c>
      <c r="C57" s="25"/>
      <c r="D57" s="26" t="e">
        <f t="shared" ref="D57:I57" si="52">+D60-D59</f>
        <v>#REF!</v>
      </c>
      <c r="E57" s="26" t="e">
        <f t="shared" si="52"/>
        <v>#REF!</v>
      </c>
      <c r="F57" s="26" t="e">
        <f t="shared" si="52"/>
        <v>#REF!</v>
      </c>
      <c r="G57" s="26" t="e">
        <f t="shared" si="52"/>
        <v>#REF!</v>
      </c>
      <c r="H57" s="26" t="e">
        <f t="shared" si="52"/>
        <v>#REF!</v>
      </c>
      <c r="I57" s="26" t="e">
        <f t="shared" si="52"/>
        <v>#REF!</v>
      </c>
      <c r="J57" s="25"/>
      <c r="L57" s="58" t="e">
        <f>+L56-'Result(P)'!C40-'Result(P)'!#REF!-L21</f>
        <v>#REF!</v>
      </c>
      <c r="M57" s="58"/>
      <c r="N57" s="58"/>
      <c r="O57" s="58"/>
      <c r="P57" s="58"/>
      <c r="R57" s="58" t="e">
        <f>+R56-'Result(P)'!D40-'Result(P)'!#REF!-R21</f>
        <v>#REF!</v>
      </c>
      <c r="S57" s="58"/>
      <c r="T57" s="58"/>
      <c r="U57" s="58"/>
      <c r="V57" s="58"/>
      <c r="W57" s="58"/>
      <c r="X57" s="58" t="e">
        <f>+X56-'Result(P)'!E40-'Result(P)'!#REF!-X21</f>
        <v>#REF!</v>
      </c>
      <c r="Y57" s="58"/>
      <c r="Z57" s="58"/>
      <c r="AA57" s="58"/>
      <c r="AC57" s="58" t="e">
        <f>+AC56-'Result(P)'!#REF!-'Result(P)'!#REF!-AC21</f>
        <v>#REF!</v>
      </c>
      <c r="AD57" s="58"/>
      <c r="AE57" s="58"/>
      <c r="AF57" s="58"/>
      <c r="AG57" s="58"/>
      <c r="AI57" s="58" t="e">
        <f>+AI56-'Result(P)'!#REF!-'Result(P)'!#REF!-AI21</f>
        <v>#REF!</v>
      </c>
      <c r="AJ57" s="58"/>
      <c r="AK57" s="58"/>
      <c r="AL57" s="58"/>
      <c r="AM57" s="58"/>
      <c r="AN57" s="58"/>
      <c r="AO57" s="58" t="e">
        <f>+AO56-'Result(P)'!#REF!-'Result(P)'!#REF!-AO21</f>
        <v>#REF!</v>
      </c>
      <c r="AP57" s="58"/>
      <c r="AQ57" s="58"/>
      <c r="AR57" s="58"/>
    </row>
    <row r="58" spans="1:44" s="23" customFormat="1" ht="14.1" customHeight="1" x14ac:dyDescent="0.35">
      <c r="A58" s="20"/>
      <c r="B58" s="20"/>
      <c r="C58" s="20"/>
      <c r="D58" s="47"/>
      <c r="E58" s="47"/>
      <c r="F58" s="47"/>
      <c r="G58" s="47"/>
      <c r="H58" s="47"/>
      <c r="I58" s="22"/>
      <c r="J58" s="20"/>
      <c r="K58" s="31"/>
      <c r="L58" s="58"/>
      <c r="M58" s="58"/>
      <c r="N58" s="58"/>
      <c r="O58" s="58"/>
      <c r="P58" s="58"/>
      <c r="Q58" s="31"/>
      <c r="R58" s="58"/>
      <c r="S58" s="58"/>
      <c r="T58" s="58"/>
      <c r="U58" s="58"/>
      <c r="V58" s="58"/>
      <c r="W58" s="58"/>
      <c r="X58" s="58"/>
      <c r="Y58" s="58"/>
      <c r="Z58" s="58"/>
      <c r="AA58" s="58"/>
      <c r="AC58" s="58"/>
      <c r="AD58" s="58"/>
      <c r="AE58" s="58"/>
      <c r="AF58" s="58"/>
      <c r="AG58" s="58"/>
      <c r="AH58" s="31"/>
      <c r="AI58" s="58"/>
      <c r="AJ58" s="58"/>
      <c r="AK58" s="58"/>
      <c r="AL58" s="58"/>
      <c r="AM58" s="58"/>
      <c r="AN58" s="58"/>
      <c r="AO58" s="58"/>
      <c r="AP58" s="58"/>
      <c r="AQ58" s="58"/>
      <c r="AR58" s="58"/>
    </row>
    <row r="59" spans="1:44" ht="14.1" customHeight="1" x14ac:dyDescent="0.2">
      <c r="A59" s="18"/>
      <c r="B59" s="18" t="s">
        <v>40</v>
      </c>
      <c r="C59" s="18"/>
      <c r="D59" s="19" t="e">
        <f>+#REF!</f>
        <v>#REF!</v>
      </c>
      <c r="E59" s="19" t="e">
        <f>+D60</f>
        <v>#REF!</v>
      </c>
      <c r="F59" s="19" t="e">
        <f>+D59</f>
        <v>#REF!</v>
      </c>
      <c r="G59" s="19" t="e">
        <f>+#REF!</f>
        <v>#REF!</v>
      </c>
      <c r="H59" s="19" t="e">
        <f>+G60</f>
        <v>#REF!</v>
      </c>
      <c r="I59" s="19" t="e">
        <f>+G59</f>
        <v>#REF!</v>
      </c>
      <c r="J59" s="18"/>
      <c r="K59" s="31"/>
      <c r="L59" s="58"/>
      <c r="M59" s="58"/>
      <c r="N59" s="58"/>
      <c r="O59" s="58"/>
      <c r="P59" s="58"/>
      <c r="Q59" s="31"/>
      <c r="R59" s="58"/>
      <c r="S59" s="58"/>
      <c r="T59" s="58"/>
      <c r="U59" s="58"/>
      <c r="V59" s="58"/>
      <c r="W59" s="58"/>
      <c r="X59" s="58"/>
      <c r="Y59" s="58"/>
      <c r="Z59" s="58"/>
      <c r="AA59" s="58"/>
      <c r="AC59" s="58"/>
      <c r="AD59" s="58"/>
      <c r="AE59" s="58"/>
      <c r="AF59" s="58"/>
      <c r="AG59" s="58"/>
      <c r="AH59" s="31"/>
      <c r="AI59" s="58"/>
      <c r="AJ59" s="58"/>
      <c r="AK59" s="58"/>
      <c r="AL59" s="58"/>
      <c r="AM59" s="58"/>
      <c r="AN59" s="58"/>
      <c r="AO59" s="58"/>
      <c r="AP59" s="58"/>
      <c r="AQ59" s="58"/>
      <c r="AR59" s="58"/>
    </row>
    <row r="60" spans="1:44" ht="14.1" customHeight="1" x14ac:dyDescent="0.2">
      <c r="A60" s="27"/>
      <c r="B60" s="27" t="s">
        <v>41</v>
      </c>
      <c r="C60" s="27"/>
      <c r="D60" s="28" t="e">
        <f>+#REF!</f>
        <v>#REF!</v>
      </c>
      <c r="E60" s="28" t="e">
        <f>+#REF!</f>
        <v>#REF!</v>
      </c>
      <c r="F60" s="28" t="e">
        <f>+E60</f>
        <v>#REF!</v>
      </c>
      <c r="G60" s="28" t="e">
        <f>+#REF!</f>
        <v>#REF!</v>
      </c>
      <c r="H60" s="28" t="e">
        <f>+#REF!</f>
        <v>#REF!</v>
      </c>
      <c r="I60" s="28" t="e">
        <f>+H60</f>
        <v>#REF!</v>
      </c>
      <c r="J60" s="27"/>
      <c r="K60" s="31"/>
      <c r="L60" s="58"/>
      <c r="M60" s="58"/>
      <c r="N60" s="58"/>
      <c r="O60" s="58"/>
      <c r="P60" s="58"/>
      <c r="Q60" s="31"/>
      <c r="R60" s="58"/>
      <c r="S60" s="58"/>
      <c r="T60" s="58"/>
      <c r="U60" s="58"/>
      <c r="V60" s="58"/>
      <c r="W60" s="58"/>
      <c r="X60" s="58"/>
      <c r="Z60" s="58"/>
      <c r="AA60" s="58"/>
      <c r="AC60" s="58"/>
      <c r="AD60" s="58"/>
      <c r="AE60" s="58"/>
      <c r="AF60" s="58"/>
      <c r="AG60" s="58"/>
      <c r="AH60" s="31"/>
      <c r="AI60" s="58"/>
      <c r="AJ60" s="58"/>
      <c r="AK60" s="58"/>
      <c r="AL60" s="58"/>
      <c r="AM60" s="58"/>
      <c r="AN60" s="58"/>
      <c r="AO60" s="58"/>
      <c r="AQ60" s="58"/>
      <c r="AR60" s="58"/>
    </row>
    <row r="61" spans="1:44" ht="14.1" customHeight="1" thickBot="1" x14ac:dyDescent="0.25">
      <c r="A61" s="29"/>
      <c r="B61" s="29"/>
      <c r="C61" s="29"/>
      <c r="D61" s="30"/>
      <c r="E61" s="30"/>
      <c r="F61" s="30"/>
      <c r="G61" s="30"/>
      <c r="H61" s="30"/>
      <c r="I61" s="30"/>
      <c r="J61" s="29"/>
      <c r="K61" s="31"/>
      <c r="L61" s="23" t="s">
        <v>68</v>
      </c>
      <c r="M61" s="23"/>
      <c r="N61" s="58"/>
      <c r="O61" s="23"/>
      <c r="P61" s="23"/>
      <c r="Q61" s="31"/>
      <c r="R61" s="23" t="s">
        <v>68</v>
      </c>
      <c r="S61" s="23"/>
      <c r="T61" s="58"/>
      <c r="U61" s="23"/>
      <c r="V61" s="23"/>
      <c r="W61" s="23"/>
      <c r="Y61" s="23" t="s">
        <v>68</v>
      </c>
      <c r="Z61" s="23"/>
      <c r="AA61" s="23"/>
      <c r="AC61" s="23" t="s">
        <v>68</v>
      </c>
      <c r="AD61" s="23"/>
      <c r="AE61" s="58"/>
      <c r="AF61" s="23"/>
      <c r="AG61" s="23"/>
      <c r="AH61" s="31"/>
      <c r="AI61" s="23" t="s">
        <v>68</v>
      </c>
      <c r="AJ61" s="23"/>
      <c r="AK61" s="58"/>
      <c r="AL61" s="23"/>
      <c r="AM61" s="23"/>
      <c r="AN61" s="23"/>
      <c r="AP61" s="23" t="s">
        <v>68</v>
      </c>
      <c r="AQ61" s="23"/>
      <c r="AR61" s="23"/>
    </row>
    <row r="62" spans="1:44" ht="14.1" customHeight="1" thickBot="1" x14ac:dyDescent="0.25">
      <c r="A62" s="1"/>
      <c r="B62" s="1"/>
      <c r="C62" s="1"/>
      <c r="D62" s="30"/>
      <c r="E62" s="30"/>
      <c r="F62" s="30"/>
      <c r="G62" s="30"/>
      <c r="H62" s="30"/>
      <c r="I62" s="30"/>
      <c r="J62" s="1"/>
      <c r="K62" s="31"/>
      <c r="L62" s="54">
        <v>0</v>
      </c>
      <c r="N62" s="58"/>
      <c r="Q62" s="31"/>
      <c r="R62" s="54">
        <v>0</v>
      </c>
      <c r="T62" s="58"/>
      <c r="Y62" s="54">
        <v>0</v>
      </c>
      <c r="AC62" s="54">
        <v>0</v>
      </c>
      <c r="AE62" s="58"/>
      <c r="AH62" s="31"/>
      <c r="AI62" s="54">
        <v>0</v>
      </c>
      <c r="AK62" s="58"/>
      <c r="AP62" s="54">
        <v>0</v>
      </c>
    </row>
    <row r="63" spans="1:44" ht="14.1" customHeight="1" x14ac:dyDescent="0.2">
      <c r="A63" s="1"/>
      <c r="B63" s="1"/>
      <c r="C63" s="1"/>
      <c r="D63" s="30"/>
      <c r="E63" s="30"/>
      <c r="F63" s="30"/>
      <c r="G63" s="30"/>
      <c r="H63" s="30"/>
      <c r="I63" s="30"/>
      <c r="J63" s="1"/>
      <c r="M63" s="48"/>
      <c r="N63" s="58"/>
      <c r="S63" s="48"/>
      <c r="T63" s="58"/>
      <c r="AD63" s="48"/>
      <c r="AE63" s="58"/>
      <c r="AJ63" s="48"/>
      <c r="AK63" s="58"/>
    </row>
    <row r="64" spans="1:44" ht="14.1" customHeight="1" x14ac:dyDescent="0.2">
      <c r="A64" s="1"/>
      <c r="B64" s="1" t="e">
        <f>+#REF!</f>
        <v>#REF!</v>
      </c>
      <c r="C64" s="1"/>
      <c r="D64" s="30"/>
      <c r="E64" s="30"/>
      <c r="F64" s="30"/>
      <c r="G64" s="30"/>
      <c r="H64" s="30"/>
      <c r="I64" s="30"/>
      <c r="J64" s="2" t="e">
        <f>+#REF!</f>
        <v>#REF!</v>
      </c>
      <c r="M64" s="48"/>
      <c r="N64" s="58"/>
      <c r="S64" s="48"/>
      <c r="T64" s="58"/>
      <c r="AD64" s="48"/>
      <c r="AE64" s="58"/>
      <c r="AJ64" s="48"/>
      <c r="AK64" s="58"/>
    </row>
    <row r="65" spans="1:37" ht="14.1" customHeight="1" x14ac:dyDescent="0.2">
      <c r="A65" s="32"/>
      <c r="B65" s="33" t="e">
        <f>+#REF!</f>
        <v>#REF!</v>
      </c>
      <c r="C65" s="33"/>
      <c r="D65" s="28"/>
      <c r="E65" s="28"/>
      <c r="F65" s="28"/>
      <c r="G65" s="28"/>
      <c r="H65" s="28"/>
      <c r="I65" s="28"/>
      <c r="J65" s="3" t="e">
        <f>+#REF!</f>
        <v>#REF!</v>
      </c>
      <c r="N65" s="58"/>
      <c r="T65" s="58"/>
      <c r="AE65" s="58"/>
      <c r="AK65" s="58"/>
    </row>
    <row r="66" spans="1:37" ht="14.1" customHeight="1" x14ac:dyDescent="0.2">
      <c r="D66" s="49" t="e">
        <f t="shared" ref="D66:I66" si="53">ROUND(+D37+D47+D54-D57,0)</f>
        <v>#REF!</v>
      </c>
      <c r="E66" s="49" t="e">
        <f t="shared" si="53"/>
        <v>#REF!</v>
      </c>
      <c r="F66" s="49" t="e">
        <f t="shared" si="53"/>
        <v>#REF!</v>
      </c>
      <c r="G66" s="49" t="e">
        <f t="shared" si="53"/>
        <v>#REF!</v>
      </c>
      <c r="H66" s="49" t="e">
        <f t="shared" si="53"/>
        <v>#REF!</v>
      </c>
      <c r="I66" s="49" t="e">
        <f t="shared" si="53"/>
        <v>#REF!</v>
      </c>
    </row>
    <row r="67" spans="1:37" ht="14.1" customHeight="1" x14ac:dyDescent="0.2">
      <c r="B67" s="44" t="e">
        <f>+B2</f>
        <v>#REF!</v>
      </c>
    </row>
    <row r="68" spans="1:37" ht="14.1" customHeight="1" x14ac:dyDescent="0.35">
      <c r="A68" s="50"/>
      <c r="B68" s="50" t="s">
        <v>70</v>
      </c>
      <c r="C68" s="50"/>
      <c r="D68" s="95" t="e">
        <f t="shared" ref="D68:I68" si="54">+D7</f>
        <v>#REF!</v>
      </c>
      <c r="E68" s="95" t="e">
        <f t="shared" si="54"/>
        <v>#REF!</v>
      </c>
      <c r="F68" s="95" t="e">
        <f t="shared" si="54"/>
        <v>#REF!</v>
      </c>
      <c r="G68" s="95" t="e">
        <f t="shared" si="54"/>
        <v>#REF!</v>
      </c>
      <c r="H68" s="95" t="e">
        <f t="shared" si="54"/>
        <v>#REF!</v>
      </c>
      <c r="I68" s="96" t="e">
        <f t="shared" si="54"/>
        <v>#REF!</v>
      </c>
      <c r="J68" s="50"/>
    </row>
    <row r="69" spans="1:37" ht="14.1" customHeight="1" x14ac:dyDescent="0.2">
      <c r="A69" s="18"/>
      <c r="B69" s="18"/>
      <c r="C69" s="18"/>
      <c r="D69" s="19"/>
      <c r="E69" s="19"/>
      <c r="F69" s="19"/>
      <c r="G69" s="19"/>
      <c r="H69" s="19"/>
      <c r="I69" s="19"/>
      <c r="J69" s="18"/>
    </row>
    <row r="70" spans="1:37" ht="14.1" customHeight="1" x14ac:dyDescent="0.35">
      <c r="A70" s="18"/>
      <c r="B70" s="18" t="s">
        <v>59</v>
      </c>
      <c r="C70" s="18"/>
      <c r="D70" s="24" t="e">
        <f t="shared" ref="D70:I70" si="55">SUM(D71:D79)</f>
        <v>#REF!</v>
      </c>
      <c r="E70" s="24" t="e">
        <f t="shared" si="55"/>
        <v>#REF!</v>
      </c>
      <c r="F70" s="24" t="e">
        <f t="shared" si="55"/>
        <v>#REF!</v>
      </c>
      <c r="G70" s="24" t="e">
        <f t="shared" si="55"/>
        <v>#REF!</v>
      </c>
      <c r="H70" s="24" t="e">
        <f t="shared" si="55"/>
        <v>#REF!</v>
      </c>
      <c r="I70" s="24" t="e">
        <f t="shared" si="55"/>
        <v>#REF!</v>
      </c>
      <c r="J70" s="18"/>
    </row>
    <row r="71" spans="1:37" ht="14.1" customHeight="1" x14ac:dyDescent="0.2">
      <c r="A71" s="18"/>
      <c r="B71" s="18" t="s">
        <v>60</v>
      </c>
      <c r="C71" s="18"/>
      <c r="D71" s="19">
        <f>+'Result(P)'!C40</f>
        <v>-69056.56035</v>
      </c>
      <c r="E71" s="19">
        <f>+'Result(P)'!D40</f>
        <v>-36938.412359999995</v>
      </c>
      <c r="F71" s="19">
        <f>+'Result(P)'!E40</f>
        <v>-2312337.59</v>
      </c>
      <c r="G71" s="19" t="e">
        <f>+'Result(P)'!#REF!</f>
        <v>#REF!</v>
      </c>
      <c r="H71" s="19" t="e">
        <f>+'Result(P)'!#REF!</f>
        <v>#REF!</v>
      </c>
      <c r="I71" s="19" t="e">
        <f>+'Result(P)'!#REF!</f>
        <v>#REF!</v>
      </c>
      <c r="J71" s="18"/>
    </row>
    <row r="72" spans="1:37" ht="14.1" customHeight="1" x14ac:dyDescent="0.2">
      <c r="A72" s="18"/>
      <c r="B72" s="18" t="s">
        <v>61</v>
      </c>
      <c r="C72" s="18"/>
      <c r="D72" s="19" t="e">
        <f>+#REF!+#REF!</f>
        <v>#REF!</v>
      </c>
      <c r="E72" s="19" t="e">
        <f>+#REF!+#REF!</f>
        <v>#REF!</v>
      </c>
      <c r="F72" s="19" t="e">
        <f>+#REF!+#REF!</f>
        <v>#REF!</v>
      </c>
      <c r="G72" s="19" t="e">
        <f>+#REF!+#REF!</f>
        <v>#REF!</v>
      </c>
      <c r="H72" s="19" t="e">
        <f>+#REF!+#REF!</f>
        <v>#REF!</v>
      </c>
      <c r="I72" s="19" t="e">
        <f>+#REF!+#REF!</f>
        <v>#REF!</v>
      </c>
      <c r="J72" s="18"/>
    </row>
    <row r="73" spans="1:37" ht="14.1" customHeight="1" x14ac:dyDescent="0.2">
      <c r="A73" s="18"/>
      <c r="B73" s="18" t="s">
        <v>62</v>
      </c>
      <c r="C73" s="18"/>
      <c r="D73" s="19" t="e">
        <f>+#REF!+#REF!+#REF!+#REF!</f>
        <v>#REF!</v>
      </c>
      <c r="E73" s="19" t="e">
        <f>+#REF!+#REF!+#REF!+#REF!</f>
        <v>#REF!</v>
      </c>
      <c r="F73" s="19" t="e">
        <f>+#REF!+#REF!+#REF!+#REF!</f>
        <v>#REF!</v>
      </c>
      <c r="G73" s="19" t="e">
        <f>+#REF!+#REF!+#REF!+#REF!</f>
        <v>#REF!</v>
      </c>
      <c r="H73" s="19" t="e">
        <f>+#REF!+#REF!+#REF!+#REF!</f>
        <v>#REF!</v>
      </c>
      <c r="I73" s="19" t="e">
        <f>+#REF!+#REF!+#REF!+#REF!</f>
        <v>#REF!</v>
      </c>
      <c r="J73" s="18"/>
    </row>
    <row r="74" spans="1:37" ht="14.1" customHeight="1" x14ac:dyDescent="0.2">
      <c r="A74" s="18"/>
      <c r="B74" s="18" t="s">
        <v>69</v>
      </c>
      <c r="C74" s="18"/>
      <c r="D74" s="19" t="e">
        <f>+#REF!</f>
        <v>#REF!</v>
      </c>
      <c r="E74" s="19" t="e">
        <f>+#REF!</f>
        <v>#REF!</v>
      </c>
      <c r="F74" s="19" t="e">
        <f>+#REF!</f>
        <v>#REF!</v>
      </c>
      <c r="G74" s="19" t="e">
        <f>+#REF!</f>
        <v>#REF!</v>
      </c>
      <c r="H74" s="19" t="e">
        <f>+#REF!</f>
        <v>#REF!</v>
      </c>
      <c r="I74" s="19" t="e">
        <f>+#REF!</f>
        <v>#REF!</v>
      </c>
      <c r="J74" s="18"/>
    </row>
    <row r="75" spans="1:37" ht="14.1" customHeight="1" x14ac:dyDescent="0.2">
      <c r="A75" s="18"/>
      <c r="B75" s="18" t="s">
        <v>63</v>
      </c>
      <c r="C75" s="18"/>
      <c r="D75" s="19" t="e">
        <f>+#REF!</f>
        <v>#REF!</v>
      </c>
      <c r="E75" s="19" t="e">
        <f>+#REF!</f>
        <v>#REF!</v>
      </c>
      <c r="F75" s="19" t="e">
        <f>+#REF!</f>
        <v>#REF!</v>
      </c>
      <c r="G75" s="19" t="e">
        <f>+#REF!</f>
        <v>#REF!</v>
      </c>
      <c r="H75" s="19" t="e">
        <f>+#REF!</f>
        <v>#REF!</v>
      </c>
      <c r="I75" s="19" t="e">
        <f>+#REF!</f>
        <v>#REF!</v>
      </c>
      <c r="J75" s="18"/>
    </row>
    <row r="76" spans="1:37" ht="14.1" customHeight="1" x14ac:dyDescent="0.2">
      <c r="A76" s="18"/>
      <c r="B76" s="111" t="s">
        <v>106</v>
      </c>
      <c r="C76" s="18"/>
      <c r="D76" s="19" t="e">
        <f>+#REF!</f>
        <v>#REF!</v>
      </c>
      <c r="E76" s="19" t="e">
        <f>+#REF!</f>
        <v>#REF!</v>
      </c>
      <c r="F76" s="19" t="e">
        <f>+#REF!</f>
        <v>#REF!</v>
      </c>
      <c r="G76" s="19" t="e">
        <f>+#REF!</f>
        <v>#REF!</v>
      </c>
      <c r="H76" s="19" t="e">
        <f>+#REF!</f>
        <v>#REF!</v>
      </c>
      <c r="I76" s="19" t="e">
        <f>+#REF!</f>
        <v>#REF!</v>
      </c>
      <c r="J76" s="18"/>
    </row>
    <row r="77" spans="1:37" ht="14.1" hidden="1" customHeight="1" x14ac:dyDescent="0.2">
      <c r="A77" s="18"/>
      <c r="B77" s="111" t="s">
        <v>104</v>
      </c>
      <c r="C77" s="18"/>
      <c r="D77" s="19" t="e">
        <f>+#REF!</f>
        <v>#REF!</v>
      </c>
      <c r="E77" s="19"/>
      <c r="F77" s="19"/>
      <c r="G77" s="19"/>
      <c r="H77" s="19"/>
      <c r="I77" s="19"/>
      <c r="J77" s="18"/>
    </row>
    <row r="78" spans="1:37" ht="14.1" hidden="1" customHeight="1" x14ac:dyDescent="0.2">
      <c r="A78" s="18"/>
      <c r="B78" s="18" t="s">
        <v>64</v>
      </c>
      <c r="C78" s="18"/>
      <c r="D78" s="19" t="e">
        <f>+#REF!</f>
        <v>#REF!</v>
      </c>
      <c r="E78" s="19" t="e">
        <f>+#REF!</f>
        <v>#REF!</v>
      </c>
      <c r="F78" s="19" t="e">
        <f>+#REF!</f>
        <v>#REF!</v>
      </c>
      <c r="G78" s="19" t="e">
        <f>+#REF!</f>
        <v>#REF!</v>
      </c>
      <c r="H78" s="19" t="e">
        <f>+#REF!</f>
        <v>#REF!</v>
      </c>
      <c r="I78" s="19" t="e">
        <f>+#REF!</f>
        <v>#REF!</v>
      </c>
      <c r="J78" s="18"/>
    </row>
    <row r="79" spans="1:37" ht="14.1" hidden="1" customHeight="1" x14ac:dyDescent="0.2">
      <c r="A79" s="18"/>
      <c r="B79" s="18" t="s">
        <v>5</v>
      </c>
      <c r="C79" s="18"/>
      <c r="D79" s="19" t="e">
        <f>+#REF!</f>
        <v>#REF!</v>
      </c>
      <c r="E79" s="19" t="e">
        <f>+#REF!</f>
        <v>#REF!</v>
      </c>
      <c r="F79" s="19" t="e">
        <f>+#REF!</f>
        <v>#REF!</v>
      </c>
      <c r="G79" s="19" t="e">
        <f>+#REF!</f>
        <v>#REF!</v>
      </c>
      <c r="H79" s="19" t="e">
        <f>+#REF!</f>
        <v>#REF!</v>
      </c>
      <c r="I79" s="19" t="e">
        <f>+#REF!</f>
        <v>#REF!</v>
      </c>
      <c r="J79" s="18"/>
    </row>
    <row r="80" spans="1:37" ht="14.1" customHeight="1" x14ac:dyDescent="0.2">
      <c r="A80" s="18"/>
      <c r="B80" s="18"/>
      <c r="C80" s="18"/>
      <c r="D80" s="19"/>
      <c r="E80" s="19"/>
      <c r="F80" s="19"/>
      <c r="G80" s="19"/>
      <c r="H80" s="19"/>
      <c r="I80" s="19"/>
      <c r="J80" s="18"/>
    </row>
    <row r="81" spans="1:44" ht="14.1" customHeight="1" x14ac:dyDescent="0.35">
      <c r="A81" s="18"/>
      <c r="B81" s="18" t="s">
        <v>65</v>
      </c>
      <c r="C81" s="18"/>
      <c r="D81" s="24" t="e">
        <f t="shared" ref="D81:I81" si="56">SUM(D83:D86)</f>
        <v>#REF!</v>
      </c>
      <c r="E81" s="24" t="e">
        <f t="shared" si="56"/>
        <v>#REF!</v>
      </c>
      <c r="F81" s="24" t="e">
        <f t="shared" si="56"/>
        <v>#REF!</v>
      </c>
      <c r="G81" s="24" t="e">
        <f t="shared" si="56"/>
        <v>#REF!</v>
      </c>
      <c r="H81" s="24" t="e">
        <f t="shared" si="56"/>
        <v>#REF!</v>
      </c>
      <c r="I81" s="24" t="e">
        <f t="shared" si="56"/>
        <v>#REF!</v>
      </c>
      <c r="J81" s="18"/>
    </row>
    <row r="82" spans="1:44" ht="14.1" customHeight="1" x14ac:dyDescent="0.2">
      <c r="A82" s="18"/>
      <c r="B82" s="18" t="s">
        <v>98</v>
      </c>
      <c r="C82" s="18"/>
      <c r="D82" s="19"/>
      <c r="E82" s="19"/>
      <c r="F82" s="19"/>
      <c r="G82" s="19"/>
      <c r="H82" s="19"/>
      <c r="I82" s="19"/>
      <c r="J82" s="18"/>
    </row>
    <row r="83" spans="1:44" s="113" customFormat="1" ht="14.1" customHeight="1" x14ac:dyDescent="0.2">
      <c r="A83" s="111"/>
      <c r="B83" s="111" t="s">
        <v>66</v>
      </c>
      <c r="C83" s="111"/>
      <c r="D83" s="112" t="e">
        <f>-(+#REF!+#REF!+#REF!+#REF!+#REF!)+(+#REF!+#REF!+#REF!+#REF!+#REF!)+#REF!-#REF!</f>
        <v>#REF!</v>
      </c>
      <c r="E83" s="112" t="e">
        <f>-(+#REF!+#REF!+#REF!+#REF!+#REF!)+(+#REF!+#REF!+#REF!+#REF!+#REF!)+#REF!-#REF!</f>
        <v>#REF!</v>
      </c>
      <c r="F83" s="112" t="e">
        <f>-(+#REF!+#REF!+#REF!+#REF!+#REF!)+(+#REF!+#REF!+#REF!+#REF!+#REF!)+#REF!-#REF!</f>
        <v>#REF!</v>
      </c>
      <c r="G83" s="112" t="e">
        <f>-(+#REF!+#REF!+#REF!+#REF!+#REF!)+(+#REF!+#REF!+#REF!+#REF!+#REF!)+#REF!-#REF!</f>
        <v>#REF!</v>
      </c>
      <c r="H83" s="112" t="e">
        <f>-(+#REF!+#REF!+#REF!+#REF!+#REF!)+(+#REF!+#REF!+#REF!+#REF!+#REF!)+#REF!-#REF!</f>
        <v>#REF!</v>
      </c>
      <c r="I83" s="112" t="e">
        <f>-(+#REF!+#REF!+#REF!+#REF!+#REF!)+(+#REF!+#REF!+#REF!+#REF!+#REF!)+#REF!-#REF!</f>
        <v>#REF!</v>
      </c>
      <c r="J83" s="111"/>
      <c r="L83" s="58"/>
      <c r="M83"/>
      <c r="N83" s="58"/>
      <c r="O83" s="58"/>
      <c r="P83" s="58"/>
      <c r="R83" s="58"/>
      <c r="S83"/>
      <c r="T83" s="58"/>
      <c r="U83" s="58"/>
      <c r="V83" s="58"/>
      <c r="W83" s="58"/>
      <c r="X83" s="58"/>
      <c r="Y83"/>
      <c r="Z83" s="58"/>
      <c r="AA83" s="58"/>
      <c r="AB83"/>
      <c r="AC83" s="58"/>
      <c r="AD83"/>
      <c r="AE83" s="58"/>
      <c r="AF83" s="58"/>
      <c r="AG83" s="58"/>
      <c r="AI83" s="58"/>
      <c r="AJ83"/>
      <c r="AK83" s="58"/>
      <c r="AL83" s="58"/>
      <c r="AM83" s="58"/>
      <c r="AN83" s="58"/>
      <c r="AO83" s="58"/>
      <c r="AP83"/>
      <c r="AQ83" s="58"/>
      <c r="AR83" s="58"/>
    </row>
    <row r="84" spans="1:44" ht="14.1" customHeight="1" x14ac:dyDescent="0.2">
      <c r="A84" s="18"/>
      <c r="B84" s="18" t="s">
        <v>99</v>
      </c>
      <c r="C84" s="18"/>
      <c r="D84" s="19" t="e">
        <f>-#REF!+#REF!</f>
        <v>#REF!</v>
      </c>
      <c r="E84" s="19" t="e">
        <f>-#REF!+#REF!</f>
        <v>#REF!</v>
      </c>
      <c r="F84" s="19" t="e">
        <f>-#REF!+#REF!</f>
        <v>#REF!</v>
      </c>
      <c r="G84" s="19" t="e">
        <f>-#REF!+#REF!</f>
        <v>#REF!</v>
      </c>
      <c r="H84" s="19" t="e">
        <f>-#REF!+#REF!</f>
        <v>#REF!</v>
      </c>
      <c r="I84" s="19" t="e">
        <f>-#REF!+#REF!</f>
        <v>#REF!</v>
      </c>
      <c r="J84" s="18"/>
    </row>
    <row r="85" spans="1:44" s="113" customFormat="1" ht="14.1" customHeight="1" x14ac:dyDescent="0.2">
      <c r="A85" s="111"/>
      <c r="B85" s="111" t="s">
        <v>96</v>
      </c>
      <c r="C85" s="111"/>
      <c r="D85" s="112" t="e">
        <f>-(+#REF!+#REF!+#REF!+#REF!+#REF!+#REF!)+(#REF!+#REF!+#REF!+#REF!+#REF!+#REF!)-D77</f>
        <v>#REF!</v>
      </c>
      <c r="E85" s="112" t="e">
        <f>-(+#REF!+#REF!+#REF!+#REF!+#REF!+#REF!)+(#REF!+#REF!+#REF!+#REF!+#REF!+#REF!)-E77</f>
        <v>#REF!</v>
      </c>
      <c r="F85" s="112" t="e">
        <f>-(+#REF!+#REF!+#REF!+#REF!+#REF!+#REF!)+(#REF!+#REF!+#REF!+#REF!+#REF!+#REF!)-F77</f>
        <v>#REF!</v>
      </c>
      <c r="G85" s="112" t="e">
        <f>-(+#REF!+#REF!+#REF!+#REF!+#REF!+#REF!)+(#REF!+#REF!+#REF!+#REF!+#REF!+#REF!)-G77</f>
        <v>#REF!</v>
      </c>
      <c r="H85" s="112" t="e">
        <f>-(+#REF!+#REF!+#REF!+#REF!+#REF!+#REF!)+(#REF!+#REF!+#REF!+#REF!+#REF!+#REF!)-H77</f>
        <v>#REF!</v>
      </c>
      <c r="I85" s="112" t="e">
        <f>-(+#REF!+#REF!+#REF!+#REF!+#REF!+#REF!)+(#REF!+#REF!+#REF!+#REF!+#REF!+#REF!)-I77</f>
        <v>#REF!</v>
      </c>
      <c r="J85" s="111"/>
      <c r="L85" s="58"/>
      <c r="M85"/>
      <c r="N85" s="58"/>
      <c r="O85" s="58"/>
      <c r="P85" s="58"/>
      <c r="R85" s="58"/>
      <c r="S85"/>
      <c r="T85" s="58"/>
      <c r="U85" s="58"/>
      <c r="V85" s="58"/>
      <c r="W85" s="58"/>
      <c r="X85" s="58"/>
      <c r="Y85"/>
      <c r="Z85" s="58"/>
      <c r="AA85" s="58"/>
      <c r="AB85"/>
      <c r="AC85" s="58"/>
      <c r="AD85"/>
      <c r="AE85" s="58"/>
      <c r="AF85" s="58"/>
      <c r="AG85" s="58"/>
      <c r="AI85" s="58"/>
      <c r="AJ85"/>
      <c r="AK85" s="58"/>
      <c r="AL85" s="58"/>
      <c r="AM85" s="58"/>
      <c r="AN85" s="58"/>
      <c r="AO85" s="58"/>
      <c r="AP85"/>
      <c r="AQ85" s="58"/>
      <c r="AR85" s="58"/>
    </row>
    <row r="86" spans="1:44" s="113" customFormat="1" ht="14.1" customHeight="1" x14ac:dyDescent="0.2">
      <c r="A86" s="111"/>
      <c r="B86" s="111" t="s">
        <v>97</v>
      </c>
      <c r="C86" s="111"/>
      <c r="D86" s="112" t="e">
        <f>-#REF!+#REF!-#REF!+#REF!</f>
        <v>#REF!</v>
      </c>
      <c r="E86" s="112" t="e">
        <f>-#REF!+#REF!-#REF!+#REF!</f>
        <v>#REF!</v>
      </c>
      <c r="F86" s="112" t="e">
        <f>-#REF!+#REF!-#REF!+#REF!</f>
        <v>#REF!</v>
      </c>
      <c r="G86" s="112" t="e">
        <f>-#REF!+#REF!-#REF!+#REF!</f>
        <v>#REF!</v>
      </c>
      <c r="H86" s="112" t="e">
        <f>-#REF!+#REF!-#REF!+#REF!</f>
        <v>#REF!</v>
      </c>
      <c r="I86" s="112" t="e">
        <f>-#REF!+#REF!-#REF!+#REF!</f>
        <v>#REF!</v>
      </c>
      <c r="J86" s="111"/>
      <c r="L86" s="58"/>
      <c r="M86"/>
      <c r="N86" s="58"/>
      <c r="O86" s="58"/>
      <c r="P86" s="58"/>
      <c r="R86" s="58"/>
      <c r="S86"/>
      <c r="T86" s="58"/>
      <c r="U86" s="58"/>
      <c r="V86" s="58"/>
      <c r="W86" s="58"/>
      <c r="X86" s="58"/>
      <c r="Y86"/>
      <c r="Z86" s="58"/>
      <c r="AA86" s="58"/>
      <c r="AB86"/>
      <c r="AC86" s="58"/>
      <c r="AD86"/>
      <c r="AE86" s="58"/>
      <c r="AF86" s="58"/>
      <c r="AG86" s="58"/>
      <c r="AI86" s="58"/>
      <c r="AJ86"/>
      <c r="AK86" s="58"/>
      <c r="AL86" s="58"/>
      <c r="AM86" s="58"/>
      <c r="AN86" s="58"/>
      <c r="AO86" s="58"/>
      <c r="AP86"/>
      <c r="AQ86" s="58"/>
      <c r="AR86" s="58"/>
    </row>
    <row r="87" spans="1:44" ht="14.1" customHeight="1" x14ac:dyDescent="0.2">
      <c r="A87" s="18"/>
      <c r="B87" s="18"/>
      <c r="C87" s="18"/>
      <c r="D87" s="19"/>
      <c r="E87" s="19"/>
      <c r="F87" s="19"/>
      <c r="G87" s="19"/>
      <c r="H87" s="19"/>
      <c r="I87" s="19"/>
      <c r="J87" s="18"/>
    </row>
    <row r="88" spans="1:44" ht="14.1" customHeight="1" x14ac:dyDescent="0.2">
      <c r="A88" s="18"/>
      <c r="B88" s="18" t="e">
        <f>IF(#REF!="não","Recursos de Acionistas","Recursos de Quotistas")</f>
        <v>#REF!</v>
      </c>
      <c r="C88" s="18"/>
      <c r="D88" s="19" t="e">
        <f>+#REF!</f>
        <v>#REF!</v>
      </c>
      <c r="E88" s="19" t="e">
        <f>+#REF!</f>
        <v>#REF!</v>
      </c>
      <c r="F88" s="19" t="e">
        <f>+#REF!</f>
        <v>#REF!</v>
      </c>
      <c r="G88" s="19" t="e">
        <f>+#REF!</f>
        <v>#REF!</v>
      </c>
      <c r="H88" s="19" t="e">
        <f>+#REF!</f>
        <v>#REF!</v>
      </c>
      <c r="I88" s="19" t="e">
        <f>+#REF!</f>
        <v>#REF!</v>
      </c>
      <c r="J88" s="18"/>
    </row>
    <row r="89" spans="1:44" ht="14.1" hidden="1" customHeight="1" x14ac:dyDescent="0.2">
      <c r="A89" s="18"/>
      <c r="B89" s="18" t="s">
        <v>80</v>
      </c>
      <c r="C89" s="18"/>
      <c r="D89" s="19" t="e">
        <f>+#REF!</f>
        <v>#REF!</v>
      </c>
      <c r="E89" s="19" t="e">
        <f>+#REF!</f>
        <v>#REF!</v>
      </c>
      <c r="F89" s="19" t="e">
        <f>+#REF!</f>
        <v>#REF!</v>
      </c>
      <c r="G89" s="19" t="e">
        <f>+#REF!</f>
        <v>#REF!</v>
      </c>
      <c r="H89" s="19" t="e">
        <f>+#REF!</f>
        <v>#REF!</v>
      </c>
      <c r="I89" s="19" t="e">
        <f>+#REF!</f>
        <v>#REF!</v>
      </c>
      <c r="J89" s="18"/>
    </row>
    <row r="90" spans="1:44" ht="14.1" hidden="1" customHeight="1" x14ac:dyDescent="0.2">
      <c r="A90" s="18"/>
      <c r="B90" s="18" t="s">
        <v>81</v>
      </c>
      <c r="C90" s="18"/>
      <c r="D90" s="19" t="e">
        <f>+#REF!</f>
        <v>#REF!</v>
      </c>
      <c r="E90" s="19" t="e">
        <f>+#REF!</f>
        <v>#REF!</v>
      </c>
      <c r="F90" s="19" t="e">
        <f>+#REF!</f>
        <v>#REF!</v>
      </c>
      <c r="G90" s="19" t="e">
        <f>+#REF!</f>
        <v>#REF!</v>
      </c>
      <c r="H90" s="19" t="e">
        <f>+#REF!</f>
        <v>#REF!</v>
      </c>
      <c r="I90" s="19" t="e">
        <f>+#REF!</f>
        <v>#REF!</v>
      </c>
      <c r="J90" s="18"/>
    </row>
    <row r="91" spans="1:44" ht="14.1" customHeight="1" x14ac:dyDescent="0.2">
      <c r="A91" s="18"/>
      <c r="B91" s="18"/>
      <c r="C91" s="18"/>
      <c r="D91" s="19"/>
      <c r="E91" s="19"/>
      <c r="F91" s="19"/>
      <c r="G91" s="19"/>
      <c r="H91" s="19"/>
      <c r="I91" s="19"/>
      <c r="J91" s="18"/>
    </row>
    <row r="92" spans="1:44" ht="14.1" customHeight="1" x14ac:dyDescent="0.2">
      <c r="A92" s="51"/>
      <c r="B92" s="52" t="str">
        <f>+B57</f>
        <v>Aumento líquido de caixa e equivalentes de caixa</v>
      </c>
      <c r="C92" s="51"/>
      <c r="D92" s="53" t="e">
        <f t="shared" ref="D92:I92" si="57">+D70+D81+D88+D89+D90</f>
        <v>#REF!</v>
      </c>
      <c r="E92" s="53" t="e">
        <f t="shared" si="57"/>
        <v>#REF!</v>
      </c>
      <c r="F92" s="53" t="e">
        <f t="shared" si="57"/>
        <v>#REF!</v>
      </c>
      <c r="G92" s="53" t="e">
        <f t="shared" si="57"/>
        <v>#REF!</v>
      </c>
      <c r="H92" s="53" t="e">
        <f t="shared" si="57"/>
        <v>#REF!</v>
      </c>
      <c r="I92" s="53" t="e">
        <f t="shared" si="57"/>
        <v>#REF!</v>
      </c>
      <c r="J92" s="51"/>
    </row>
    <row r="94" spans="1:44" ht="14.1" customHeight="1" x14ac:dyDescent="0.2">
      <c r="D94" s="49" t="e">
        <f t="shared" ref="D94:I94" si="58">+D57-D92</f>
        <v>#REF!</v>
      </c>
      <c r="E94" s="49" t="e">
        <f t="shared" si="58"/>
        <v>#REF!</v>
      </c>
      <c r="F94" s="49" t="e">
        <f t="shared" si="58"/>
        <v>#REF!</v>
      </c>
      <c r="G94" s="49" t="e">
        <f t="shared" si="58"/>
        <v>#REF!</v>
      </c>
      <c r="H94" s="49" t="e">
        <f t="shared" si="58"/>
        <v>#REF!</v>
      </c>
      <c r="I94" s="49" t="e">
        <f t="shared" si="58"/>
        <v>#REF!</v>
      </c>
    </row>
  </sheetData>
  <phoneticPr fontId="20" type="noConversion"/>
  <conditionalFormatting sqref="X57 L57 R57 D66:I66 D94:I94 K58 Q58 AH58 AC57 AI57 AO57">
    <cfRule type="cellIs" dxfId="0" priority="1" stopIfTrue="1" operator="not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rowBreaks count="1" manualBreakCount="1">
    <brk id="6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FEAB-D713-43EB-93CD-DC3D3548AC8B}">
  <sheetPr>
    <tabColor rgb="FF00FFFF"/>
  </sheetPr>
  <dimension ref="A1:F15"/>
  <sheetViews>
    <sheetView showGridLines="0" zoomScale="80" zoomScaleNormal="80" workbookViewId="0">
      <selection activeCell="C4" sqref="C4"/>
    </sheetView>
  </sheetViews>
  <sheetFormatPr defaultColWidth="9.140625" defaultRowHeight="15" x14ac:dyDescent="0.3"/>
  <cols>
    <col min="1" max="1" width="28.5703125" style="116" bestFit="1" customWidth="1"/>
    <col min="2" max="2" width="13.5703125" style="116" bestFit="1" customWidth="1"/>
    <col min="3" max="3" width="14.85546875" style="116" bestFit="1" customWidth="1"/>
    <col min="4" max="16384" width="9.140625" style="116"/>
  </cols>
  <sheetData>
    <row r="1" spans="1:6" ht="15.75" thickBot="1" x14ac:dyDescent="0.35">
      <c r="A1" s="279" t="s">
        <v>134</v>
      </c>
      <c r="B1" s="242">
        <v>2021</v>
      </c>
      <c r="C1" s="243">
        <v>2020</v>
      </c>
    </row>
    <row r="2" spans="1:6" x14ac:dyDescent="0.3">
      <c r="A2" s="244" t="s">
        <v>230</v>
      </c>
      <c r="B2" s="245">
        <v>0</v>
      </c>
      <c r="C2" s="246">
        <v>195949.57</v>
      </c>
      <c r="E2" s="256">
        <f>ROUND(B2,0)</f>
        <v>0</v>
      </c>
      <c r="F2" s="256">
        <f>ROUND(C2,0)</f>
        <v>195950</v>
      </c>
    </row>
    <row r="3" spans="1:6" x14ac:dyDescent="0.3">
      <c r="A3" s="244" t="s">
        <v>231</v>
      </c>
      <c r="B3" s="245">
        <v>0</v>
      </c>
      <c r="C3" s="246">
        <v>324997.58</v>
      </c>
      <c r="E3" s="256">
        <f t="shared" ref="E3:F13" si="0">ROUND(B3,0)</f>
        <v>0</v>
      </c>
      <c r="F3" s="256">
        <f t="shared" si="0"/>
        <v>324998</v>
      </c>
    </row>
    <row r="4" spans="1:6" x14ac:dyDescent="0.3">
      <c r="A4" s="244" t="s">
        <v>232</v>
      </c>
      <c r="B4" s="245">
        <v>423943.63</v>
      </c>
      <c r="C4" s="246">
        <v>422745.19</v>
      </c>
      <c r="E4" s="256">
        <f t="shared" si="0"/>
        <v>423944</v>
      </c>
      <c r="F4" s="256">
        <f t="shared" si="0"/>
        <v>422745</v>
      </c>
    </row>
    <row r="5" spans="1:6" x14ac:dyDescent="0.3">
      <c r="A5" s="244" t="s">
        <v>233</v>
      </c>
      <c r="B5" s="245">
        <v>223989</v>
      </c>
      <c r="C5" s="246">
        <v>223320.5</v>
      </c>
      <c r="E5" s="256">
        <f t="shared" si="0"/>
        <v>223989</v>
      </c>
      <c r="F5" s="256">
        <f t="shared" si="0"/>
        <v>223321</v>
      </c>
    </row>
    <row r="6" spans="1:6" x14ac:dyDescent="0.3">
      <c r="A6" s="244" t="s">
        <v>234</v>
      </c>
      <c r="B6" s="245">
        <v>43326.7</v>
      </c>
      <c r="C6" s="246">
        <v>0</v>
      </c>
      <c r="E6" s="256">
        <f t="shared" si="0"/>
        <v>43327</v>
      </c>
      <c r="F6" s="256">
        <f t="shared" si="0"/>
        <v>0</v>
      </c>
    </row>
    <row r="7" spans="1:6" x14ac:dyDescent="0.3">
      <c r="A7" s="244" t="s">
        <v>235</v>
      </c>
      <c r="B7" s="245">
        <v>53017.85</v>
      </c>
      <c r="C7" s="246">
        <v>43326.7</v>
      </c>
      <c r="E7" s="256">
        <f t="shared" si="0"/>
        <v>53018</v>
      </c>
      <c r="F7" s="256">
        <f t="shared" si="0"/>
        <v>43327</v>
      </c>
    </row>
    <row r="8" spans="1:6" x14ac:dyDescent="0.3">
      <c r="A8" s="244" t="s">
        <v>236</v>
      </c>
      <c r="B8" s="245">
        <v>459025.59</v>
      </c>
      <c r="C8" s="246">
        <v>56438.3</v>
      </c>
      <c r="E8" s="256">
        <f t="shared" si="0"/>
        <v>459026</v>
      </c>
      <c r="F8" s="256">
        <f t="shared" si="0"/>
        <v>56438</v>
      </c>
    </row>
    <row r="9" spans="1:6" x14ac:dyDescent="0.3">
      <c r="A9" s="244" t="s">
        <v>178</v>
      </c>
      <c r="B9" s="245">
        <v>341325.74</v>
      </c>
      <c r="C9" s="246">
        <v>151707.59</v>
      </c>
      <c r="E9" s="256">
        <f t="shared" si="0"/>
        <v>341326</v>
      </c>
      <c r="F9" s="256">
        <f t="shared" si="0"/>
        <v>151708</v>
      </c>
    </row>
    <row r="10" spans="1:6" x14ac:dyDescent="0.3">
      <c r="A10" s="244" t="s">
        <v>237</v>
      </c>
      <c r="B10" s="245">
        <v>48885.53</v>
      </c>
      <c r="C10" s="246">
        <v>54422.53</v>
      </c>
      <c r="E10" s="256">
        <f t="shared" si="0"/>
        <v>48886</v>
      </c>
      <c r="F10" s="256">
        <f t="shared" si="0"/>
        <v>54423</v>
      </c>
    </row>
    <row r="11" spans="1:6" x14ac:dyDescent="0.3">
      <c r="A11" s="244" t="s">
        <v>238</v>
      </c>
      <c r="B11" s="245">
        <v>230842.79</v>
      </c>
      <c r="C11" s="246">
        <v>273118.55</v>
      </c>
      <c r="E11" s="256">
        <f t="shared" si="0"/>
        <v>230843</v>
      </c>
      <c r="F11" s="256">
        <f t="shared" si="0"/>
        <v>273119</v>
      </c>
    </row>
    <row r="12" spans="1:6" x14ac:dyDescent="0.3">
      <c r="A12" s="244" t="s">
        <v>239</v>
      </c>
      <c r="B12" s="245">
        <v>50</v>
      </c>
      <c r="C12" s="246">
        <v>50</v>
      </c>
      <c r="E12" s="256">
        <f t="shared" si="0"/>
        <v>50</v>
      </c>
      <c r="F12" s="256">
        <f t="shared" si="0"/>
        <v>50</v>
      </c>
    </row>
    <row r="13" spans="1:6" ht="15.75" thickBot="1" x14ac:dyDescent="0.35">
      <c r="A13" s="244" t="s">
        <v>240</v>
      </c>
      <c r="B13" s="245">
        <v>253.44</v>
      </c>
      <c r="C13" s="246">
        <v>253.44</v>
      </c>
      <c r="E13" s="256">
        <f t="shared" si="0"/>
        <v>253</v>
      </c>
      <c r="F13" s="256">
        <f t="shared" si="0"/>
        <v>253</v>
      </c>
    </row>
    <row r="14" spans="1:6" ht="15.75" thickBot="1" x14ac:dyDescent="0.35">
      <c r="B14" s="247">
        <f>SUM(B2:B13)</f>
        <v>1824660.27</v>
      </c>
      <c r="C14" s="247">
        <f>SUM(C2:C13)</f>
        <v>1746329.9500000002</v>
      </c>
    </row>
    <row r="15" spans="1:6" ht="15.75" thickTop="1" x14ac:dyDescent="0.3"/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15DE3-BE2B-4786-8746-E08BF66A9777}">
  <sheetPr>
    <tabColor rgb="FF00FFFF"/>
  </sheetPr>
  <dimension ref="A1:C5"/>
  <sheetViews>
    <sheetView showGridLines="0" zoomScale="80" zoomScaleNormal="80" workbookViewId="0">
      <selection activeCell="C4" sqref="C4"/>
    </sheetView>
  </sheetViews>
  <sheetFormatPr defaultColWidth="9.140625" defaultRowHeight="15" x14ac:dyDescent="0.3"/>
  <cols>
    <col min="1" max="1" width="30" style="116" bestFit="1" customWidth="1"/>
    <col min="2" max="2" width="13.5703125" style="116" bestFit="1" customWidth="1"/>
    <col min="3" max="3" width="14.85546875" style="116" bestFit="1" customWidth="1"/>
    <col min="4" max="16384" width="9.140625" style="116"/>
  </cols>
  <sheetData>
    <row r="1" spans="1:3" ht="15.75" thickBot="1" x14ac:dyDescent="0.35">
      <c r="B1" s="242">
        <v>2021</v>
      </c>
      <c r="C1" s="243">
        <v>2020</v>
      </c>
    </row>
    <row r="2" spans="1:3" x14ac:dyDescent="0.3">
      <c r="A2" s="244" t="s">
        <v>202</v>
      </c>
      <c r="B2" s="245">
        <v>92151.89</v>
      </c>
      <c r="C2" s="246">
        <v>23571.02</v>
      </c>
    </row>
    <row r="3" spans="1:3" ht="15.75" thickBot="1" x14ac:dyDescent="0.35">
      <c r="A3" s="244" t="s">
        <v>242</v>
      </c>
      <c r="B3" s="245">
        <v>322194.13</v>
      </c>
      <c r="C3" s="246">
        <v>0</v>
      </c>
    </row>
    <row r="4" spans="1:3" ht="15.75" thickBot="1" x14ac:dyDescent="0.35">
      <c r="B4" s="247">
        <f>SUM(B2:B3)</f>
        <v>414346.02</v>
      </c>
      <c r="C4" s="247">
        <f>SUM(C2:C3)</f>
        <v>23571.02</v>
      </c>
    </row>
    <row r="5" spans="1:3" ht="15.75" thickTop="1" x14ac:dyDescent="0.3"/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1497-5AF3-44F7-80A4-17AEBC40F03F}">
  <sheetPr>
    <tabColor rgb="FF00FFFF"/>
  </sheetPr>
  <dimension ref="A1:C5"/>
  <sheetViews>
    <sheetView showGridLines="0" zoomScale="80" zoomScaleNormal="80" workbookViewId="0">
      <selection activeCell="C4" sqref="C4"/>
    </sheetView>
  </sheetViews>
  <sheetFormatPr defaultColWidth="9.140625" defaultRowHeight="15" x14ac:dyDescent="0.3"/>
  <cols>
    <col min="1" max="1" width="39.140625" style="116" customWidth="1"/>
    <col min="2" max="2" width="13.5703125" style="116" bestFit="1" customWidth="1"/>
    <col min="3" max="3" width="14.85546875" style="116" bestFit="1" customWidth="1"/>
    <col min="4" max="16384" width="9.140625" style="116"/>
  </cols>
  <sheetData>
    <row r="1" spans="1:3" ht="15.75" thickBot="1" x14ac:dyDescent="0.35">
      <c r="B1" s="242">
        <v>2021</v>
      </c>
      <c r="C1" s="243">
        <v>2020</v>
      </c>
    </row>
    <row r="2" spans="1:3" x14ac:dyDescent="0.3">
      <c r="A2" s="244" t="s">
        <v>335</v>
      </c>
      <c r="B2" s="245">
        <v>23506.12</v>
      </c>
      <c r="C2" s="246">
        <v>0</v>
      </c>
    </row>
    <row r="3" spans="1:3" ht="30.75" thickBot="1" x14ac:dyDescent="0.35">
      <c r="A3" s="244" t="s">
        <v>336</v>
      </c>
      <c r="B3" s="245">
        <v>704801.32</v>
      </c>
      <c r="C3" s="246">
        <v>433.33</v>
      </c>
    </row>
    <row r="4" spans="1:3" ht="15.75" thickBot="1" x14ac:dyDescent="0.35">
      <c r="B4" s="247">
        <f>SUM(B2:B3)</f>
        <v>728307.44</v>
      </c>
      <c r="C4" s="247">
        <f>SUM(C2:C3)</f>
        <v>433.33</v>
      </c>
    </row>
    <row r="5" spans="1:3" ht="15.75" thickTop="1" x14ac:dyDescent="0.3"/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CE2BC-BD62-49A7-9B67-CA7A575B72A3}">
  <sheetPr>
    <tabColor rgb="FF00FFFF"/>
  </sheetPr>
  <dimension ref="A1:E26"/>
  <sheetViews>
    <sheetView showGridLines="0" zoomScale="80" zoomScaleNormal="80" workbookViewId="0">
      <selection activeCell="C4" sqref="C4"/>
    </sheetView>
  </sheetViews>
  <sheetFormatPr defaultColWidth="9.140625" defaultRowHeight="15" x14ac:dyDescent="0.3"/>
  <cols>
    <col min="1" max="1" width="38.5703125" style="116" bestFit="1" customWidth="1"/>
    <col min="2" max="5" width="13.7109375" style="116" customWidth="1"/>
    <col min="6" max="16384" width="9.140625" style="116"/>
  </cols>
  <sheetData>
    <row r="1" spans="1:5" x14ac:dyDescent="0.3">
      <c r="A1" s="324"/>
      <c r="B1" s="280" t="s">
        <v>244</v>
      </c>
      <c r="C1" s="280" t="s">
        <v>245</v>
      </c>
      <c r="D1" s="281" t="s">
        <v>246</v>
      </c>
    </row>
    <row r="2" spans="1:5" ht="15.75" thickBot="1" x14ac:dyDescent="0.35">
      <c r="A2" s="325"/>
      <c r="B2" s="280" t="s">
        <v>247</v>
      </c>
      <c r="C2" s="280" t="s">
        <v>248</v>
      </c>
      <c r="D2" s="281" t="s">
        <v>249</v>
      </c>
    </row>
    <row r="3" spans="1:5" ht="15.75" thickBot="1" x14ac:dyDescent="0.35">
      <c r="A3" s="282"/>
      <c r="B3" s="283">
        <v>2021</v>
      </c>
      <c r="C3" s="283">
        <v>2021</v>
      </c>
      <c r="D3" s="284">
        <v>2021</v>
      </c>
    </row>
    <row r="4" spans="1:5" x14ac:dyDescent="0.3">
      <c r="A4" s="278" t="s">
        <v>261</v>
      </c>
      <c r="B4" s="285">
        <v>1</v>
      </c>
      <c r="C4" s="246">
        <v>1116042.5499999998</v>
      </c>
      <c r="D4" s="246">
        <v>-1884057.45</v>
      </c>
    </row>
    <row r="5" spans="1:5" x14ac:dyDescent="0.3">
      <c r="A5" s="286"/>
    </row>
    <row r="6" spans="1:5" hidden="1" x14ac:dyDescent="0.3">
      <c r="A6" s="288" t="s">
        <v>250</v>
      </c>
      <c r="B6" s="289"/>
    </row>
    <row r="7" spans="1:5" hidden="1" x14ac:dyDescent="0.3">
      <c r="A7" s="278"/>
      <c r="B7" s="290"/>
    </row>
    <row r="8" spans="1:5" hidden="1" x14ac:dyDescent="0.3">
      <c r="A8" s="254" t="s">
        <v>251</v>
      </c>
      <c r="B8" s="255"/>
    </row>
    <row r="9" spans="1:5" hidden="1" x14ac:dyDescent="0.3">
      <c r="A9" s="254" t="s">
        <v>252</v>
      </c>
      <c r="B9" s="255"/>
    </row>
    <row r="10" spans="1:5" hidden="1" x14ac:dyDescent="0.3">
      <c r="A10" s="254" t="s">
        <v>253</v>
      </c>
      <c r="B10" s="255"/>
    </row>
    <row r="11" spans="1:5" hidden="1" x14ac:dyDescent="0.3">
      <c r="A11" s="254" t="s">
        <v>254</v>
      </c>
      <c r="B11" s="255"/>
    </row>
    <row r="12" spans="1:5" ht="15.75" hidden="1" thickBot="1" x14ac:dyDescent="0.35">
      <c r="A12" s="278"/>
      <c r="B12" s="291"/>
    </row>
    <row r="13" spans="1:5" ht="15.75" thickBot="1" x14ac:dyDescent="0.35">
      <c r="A13" s="288" t="s">
        <v>255</v>
      </c>
      <c r="B13" s="289">
        <f>SUM(B6:B12)</f>
        <v>0</v>
      </c>
    </row>
    <row r="14" spans="1:5" x14ac:dyDescent="0.3">
      <c r="A14" s="278"/>
      <c r="B14" s="292"/>
    </row>
    <row r="15" spans="1:5" x14ac:dyDescent="0.3">
      <c r="A15" s="254" t="s">
        <v>251</v>
      </c>
      <c r="B15" s="255">
        <v>-1884057.45</v>
      </c>
      <c r="E15" s="256"/>
    </row>
    <row r="16" spans="1:5" hidden="1" x14ac:dyDescent="0.3">
      <c r="A16" s="254" t="s">
        <v>252</v>
      </c>
      <c r="B16" s="255"/>
    </row>
    <row r="17" spans="1:3" hidden="1" x14ac:dyDescent="0.3">
      <c r="A17" s="254" t="s">
        <v>253</v>
      </c>
      <c r="B17" s="255"/>
    </row>
    <row r="18" spans="1:3" x14ac:dyDescent="0.3">
      <c r="A18" s="254" t="s">
        <v>254</v>
      </c>
      <c r="B18" s="255">
        <v>3000100</v>
      </c>
    </row>
    <row r="19" spans="1:3" ht="15.75" thickBot="1" x14ac:dyDescent="0.35">
      <c r="A19" s="278"/>
      <c r="B19" s="291"/>
    </row>
    <row r="20" spans="1:3" x14ac:dyDescent="0.3">
      <c r="A20" s="288" t="s">
        <v>256</v>
      </c>
      <c r="B20" s="289">
        <f>SUM(B13:B19)</f>
        <v>1116042.55</v>
      </c>
    </row>
    <row r="21" spans="1:3" x14ac:dyDescent="0.3">
      <c r="A21" s="293"/>
    </row>
    <row r="22" spans="1:3" ht="15.75" thickBot="1" x14ac:dyDescent="0.35">
      <c r="A22" s="294"/>
      <c r="B22" s="287">
        <v>2021</v>
      </c>
    </row>
    <row r="23" spans="1:3" x14ac:dyDescent="0.3">
      <c r="A23" s="295" t="s">
        <v>257</v>
      </c>
      <c r="B23" s="296">
        <v>1139548.6700000002</v>
      </c>
      <c r="C23" s="256"/>
    </row>
    <row r="24" spans="1:3" x14ac:dyDescent="0.3">
      <c r="A24" s="295" t="s">
        <v>258</v>
      </c>
      <c r="B24" s="296">
        <v>23506.12</v>
      </c>
    </row>
    <row r="25" spans="1:3" x14ac:dyDescent="0.3">
      <c r="A25" s="295" t="s">
        <v>259</v>
      </c>
      <c r="B25" s="296">
        <f>+B20</f>
        <v>1116042.55</v>
      </c>
    </row>
    <row r="26" spans="1:3" x14ac:dyDescent="0.3">
      <c r="A26" s="295" t="s">
        <v>260</v>
      </c>
      <c r="B26" s="296">
        <f>+D4</f>
        <v>-1884057.45</v>
      </c>
    </row>
  </sheetData>
  <mergeCells count="1">
    <mergeCell ref="A1:A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6F04-D5CD-4C88-8019-CC30DF137DB3}">
  <sheetPr>
    <tabColor rgb="FF00FFFF"/>
  </sheetPr>
  <dimension ref="A1:O56"/>
  <sheetViews>
    <sheetView showGridLines="0" topLeftCell="A35" zoomScale="80" zoomScaleNormal="80" workbookViewId="0">
      <selection activeCell="C4" sqref="C4"/>
    </sheetView>
  </sheetViews>
  <sheetFormatPr defaultColWidth="9.140625" defaultRowHeight="15" x14ac:dyDescent="0.3"/>
  <cols>
    <col min="1" max="1" width="30.7109375" style="263" customWidth="1"/>
    <col min="2" max="2" width="1.7109375" style="116" hidden="1" customWidth="1"/>
    <col min="3" max="3" width="13.7109375" style="116" customWidth="1"/>
    <col min="4" max="4" width="1.7109375" style="116" customWidth="1"/>
    <col min="5" max="5" width="13.7109375" style="116" customWidth="1"/>
    <col min="6" max="6" width="1.7109375" style="116" customWidth="1"/>
    <col min="7" max="7" width="13.7109375" style="116" customWidth="1"/>
    <col min="8" max="8" width="1.7109375" style="116" customWidth="1"/>
    <col min="9" max="9" width="13.7109375" style="116" customWidth="1"/>
    <col min="10" max="16384" width="9.140625" style="116"/>
  </cols>
  <sheetData>
    <row r="1" spans="1:11" ht="15.75" thickBot="1" x14ac:dyDescent="0.35">
      <c r="A1" s="294"/>
      <c r="B1" s="329">
        <f>EOMONTH(I1,12)</f>
        <v>44561</v>
      </c>
      <c r="C1" s="329"/>
      <c r="D1" s="329"/>
      <c r="E1" s="329"/>
      <c r="F1" s="329"/>
      <c r="G1" s="310"/>
      <c r="H1" s="310"/>
      <c r="I1" s="309">
        <f>+B10</f>
        <v>44196</v>
      </c>
    </row>
    <row r="2" spans="1:11" x14ac:dyDescent="0.3">
      <c r="A2" s="326"/>
      <c r="C2" s="327" t="s">
        <v>180</v>
      </c>
      <c r="E2" s="327" t="s">
        <v>181</v>
      </c>
      <c r="G2" s="327" t="s">
        <v>182</v>
      </c>
      <c r="H2" s="310"/>
      <c r="I2" s="327" t="s">
        <v>182</v>
      </c>
    </row>
    <row r="3" spans="1:11" ht="15.75" thickBot="1" x14ac:dyDescent="0.35">
      <c r="A3" s="326"/>
      <c r="C3" s="328"/>
      <c r="E3" s="328"/>
      <c r="G3" s="328"/>
      <c r="H3" s="310"/>
      <c r="I3" s="328"/>
    </row>
    <row r="4" spans="1:11" ht="30" x14ac:dyDescent="0.3">
      <c r="A4" s="294" t="s">
        <v>243</v>
      </c>
      <c r="C4" s="258">
        <f>SUM(C21:G21)</f>
        <v>18</v>
      </c>
      <c r="D4" s="259"/>
      <c r="E4" s="258">
        <f>SUM(C28:G28)</f>
        <v>-8</v>
      </c>
      <c r="F4" s="259"/>
      <c r="G4" s="258">
        <f>SUM(I21,I28)</f>
        <v>10</v>
      </c>
      <c r="H4" s="260"/>
      <c r="I4" s="261">
        <f>G13</f>
        <v>11</v>
      </c>
      <c r="K4" s="256"/>
    </row>
    <row r="5" spans="1:11" x14ac:dyDescent="0.3">
      <c r="A5" s="294" t="s">
        <v>291</v>
      </c>
      <c r="C5" s="258">
        <f>SUM(C22:G22)</f>
        <v>2378</v>
      </c>
      <c r="D5" s="259"/>
      <c r="E5" s="258">
        <f>SUM(C29:G29)</f>
        <v>-378</v>
      </c>
      <c r="F5" s="259"/>
      <c r="G5" s="258">
        <f>SUM(I22,I29)</f>
        <v>2000</v>
      </c>
      <c r="H5" s="260"/>
      <c r="I5" s="261">
        <f>G14</f>
        <v>349</v>
      </c>
      <c r="K5" s="256"/>
    </row>
    <row r="6" spans="1:11" ht="30" x14ac:dyDescent="0.3">
      <c r="A6" s="294" t="s">
        <v>292</v>
      </c>
      <c r="C6" s="258">
        <f>SUM(C23:G23)</f>
        <v>83</v>
      </c>
      <c r="D6" s="259"/>
      <c r="E6" s="258">
        <f>SUM(C30:G30)</f>
        <v>-31</v>
      </c>
      <c r="F6" s="259"/>
      <c r="G6" s="258">
        <f>SUM(I23,I30)</f>
        <v>52</v>
      </c>
      <c r="H6" s="260"/>
      <c r="I6" s="261">
        <f>G15</f>
        <v>60</v>
      </c>
      <c r="K6" s="256"/>
    </row>
    <row r="7" spans="1:11" x14ac:dyDescent="0.3">
      <c r="A7" s="294" t="s">
        <v>203</v>
      </c>
      <c r="C7" s="258">
        <f>SUM(C24:G24)</f>
        <v>1082</v>
      </c>
      <c r="D7" s="259"/>
      <c r="E7" s="258">
        <f>SUM(C31:G31)</f>
        <v>-8</v>
      </c>
      <c r="F7" s="259"/>
      <c r="G7" s="258">
        <f>SUM(I24,I31)</f>
        <v>1074</v>
      </c>
      <c r="H7" s="260"/>
      <c r="I7" s="261">
        <f>G16</f>
        <v>29</v>
      </c>
      <c r="K7" s="256"/>
    </row>
    <row r="8" spans="1:11" x14ac:dyDescent="0.3">
      <c r="A8" s="312" t="s">
        <v>179</v>
      </c>
      <c r="C8" s="265">
        <f>SUM(C4:C7)</f>
        <v>3561</v>
      </c>
      <c r="D8" s="259"/>
      <c r="E8" s="265">
        <f>SUM(E4:E7)</f>
        <v>-425</v>
      </c>
      <c r="F8" s="259"/>
      <c r="G8" s="265">
        <f>SUM(G4:G7)</f>
        <v>3136</v>
      </c>
      <c r="H8" s="260"/>
      <c r="I8" s="265">
        <f>SUM(I4:I7)</f>
        <v>449</v>
      </c>
    </row>
    <row r="9" spans="1:11" x14ac:dyDescent="0.3">
      <c r="A9" s="294"/>
      <c r="H9" s="262"/>
      <c r="I9" s="263"/>
    </row>
    <row r="10" spans="1:11" ht="15.75" thickBot="1" x14ac:dyDescent="0.35">
      <c r="A10" s="294"/>
      <c r="B10" s="329">
        <f>EOMONTH(I10,12)</f>
        <v>44196</v>
      </c>
      <c r="C10" s="329"/>
      <c r="D10" s="329"/>
      <c r="E10" s="329"/>
      <c r="F10" s="329"/>
      <c r="G10" s="310"/>
      <c r="H10" s="310"/>
      <c r="I10" s="309">
        <v>43830</v>
      </c>
    </row>
    <row r="11" spans="1:11" x14ac:dyDescent="0.3">
      <c r="A11" s="326"/>
      <c r="C11" s="327" t="s">
        <v>180</v>
      </c>
      <c r="E11" s="327" t="s">
        <v>181</v>
      </c>
      <c r="G11" s="327" t="s">
        <v>182</v>
      </c>
      <c r="H11" s="310"/>
      <c r="I11" s="327" t="s">
        <v>182</v>
      </c>
    </row>
    <row r="12" spans="1:11" ht="15.75" thickBot="1" x14ac:dyDescent="0.35">
      <c r="A12" s="326"/>
      <c r="C12" s="328"/>
      <c r="E12" s="328"/>
      <c r="G12" s="328"/>
      <c r="H12" s="310"/>
      <c r="I12" s="328"/>
    </row>
    <row r="13" spans="1:11" ht="30" x14ac:dyDescent="0.3">
      <c r="A13" s="294" t="str">
        <f>A4</f>
        <v>maquinas/equipamentos administrativos</v>
      </c>
      <c r="C13" s="258">
        <f>SUM(C37:G37)</f>
        <v>17</v>
      </c>
      <c r="E13" s="258">
        <f>SUM(C44:G44)</f>
        <v>-6</v>
      </c>
      <c r="G13" s="258">
        <f>SUM(I37,I44)</f>
        <v>11</v>
      </c>
      <c r="H13" s="310"/>
      <c r="I13" s="261">
        <f>SUM(C37,C44)</f>
        <v>24</v>
      </c>
      <c r="K13" s="256"/>
    </row>
    <row r="14" spans="1:11" x14ac:dyDescent="0.3">
      <c r="A14" s="294" t="str">
        <f>A5</f>
        <v>computadores e periféricos</v>
      </c>
      <c r="C14" s="258">
        <f>SUM(C38:G38)</f>
        <v>572</v>
      </c>
      <c r="E14" s="258">
        <f>SUM(C45:G45)</f>
        <v>-223</v>
      </c>
      <c r="G14" s="258">
        <f>SUM(I38,I45)</f>
        <v>349</v>
      </c>
      <c r="H14" s="310"/>
      <c r="I14" s="261">
        <f>SUM(C38,C45)</f>
        <v>238</v>
      </c>
      <c r="K14" s="256"/>
    </row>
    <row r="15" spans="1:11" ht="30" x14ac:dyDescent="0.3">
      <c r="A15" s="294" t="str">
        <f>A6</f>
        <v>moveis e utensílios administrativos</v>
      </c>
      <c r="C15" s="258">
        <f>SUM(C39:G39)</f>
        <v>83</v>
      </c>
      <c r="E15" s="258">
        <f>SUM(C46:G46)</f>
        <v>-23</v>
      </c>
      <c r="G15" s="258">
        <f>SUM(I39,I46)</f>
        <v>60</v>
      </c>
      <c r="H15" s="310"/>
      <c r="I15" s="261">
        <f>SUM(C39,C46)</f>
        <v>51</v>
      </c>
      <c r="K15" s="256"/>
    </row>
    <row r="16" spans="1:11" x14ac:dyDescent="0.3">
      <c r="A16" s="294" t="str">
        <f>A7</f>
        <v>benfeitoria em bens terceiros</v>
      </c>
      <c r="C16" s="258">
        <f>SUM(C40:G40)</f>
        <v>34</v>
      </c>
      <c r="E16" s="258">
        <f>SUM(C47:G47)</f>
        <v>-5</v>
      </c>
      <c r="G16" s="258">
        <f>SUM(I40,I47)</f>
        <v>29</v>
      </c>
      <c r="H16" s="310"/>
      <c r="I16" s="261">
        <f>SUM(C40,C47)</f>
        <v>31</v>
      </c>
      <c r="K16" s="256"/>
    </row>
    <row r="17" spans="1:15" x14ac:dyDescent="0.3">
      <c r="A17" s="312" t="s">
        <v>179</v>
      </c>
      <c r="C17" s="265">
        <f>SUM(C13:C16)</f>
        <v>706</v>
      </c>
      <c r="D17" s="259"/>
      <c r="E17" s="265">
        <f>SUM(E13:E16)</f>
        <v>-257</v>
      </c>
      <c r="F17" s="259"/>
      <c r="G17" s="265">
        <f>SUM(G13:G16)</f>
        <v>449</v>
      </c>
      <c r="H17" s="260"/>
      <c r="I17" s="265">
        <f>SUM(I13:I16)</f>
        <v>344</v>
      </c>
    </row>
    <row r="18" spans="1:15" x14ac:dyDescent="0.3">
      <c r="A18" s="294"/>
      <c r="B18" s="256"/>
      <c r="C18" s="256"/>
      <c r="H18" s="262"/>
      <c r="I18" s="263"/>
    </row>
    <row r="19" spans="1:15" x14ac:dyDescent="0.3">
      <c r="A19" s="294"/>
      <c r="C19" s="256"/>
      <c r="H19" s="262"/>
      <c r="I19" s="263"/>
    </row>
    <row r="20" spans="1:15" x14ac:dyDescent="0.3">
      <c r="A20" s="312" t="s">
        <v>180</v>
      </c>
      <c r="C20" s="266">
        <f>I36</f>
        <v>44196</v>
      </c>
      <c r="E20" s="267" t="s">
        <v>183</v>
      </c>
      <c r="G20" s="267" t="s">
        <v>184</v>
      </c>
      <c r="I20" s="268">
        <f>EOMONTH(C20,12)</f>
        <v>44561</v>
      </c>
    </row>
    <row r="21" spans="1:15" ht="30" x14ac:dyDescent="0.3">
      <c r="A21" s="294" t="str">
        <f>A4</f>
        <v>maquinas/equipamentos administrativos</v>
      </c>
      <c r="C21" s="258">
        <f>I37</f>
        <v>17</v>
      </c>
      <c r="D21" s="260"/>
      <c r="E21" s="258">
        <v>1</v>
      </c>
      <c r="F21" s="260"/>
      <c r="G21" s="258">
        <v>0</v>
      </c>
      <c r="H21" s="260"/>
      <c r="I21" s="258">
        <f>SUM(C21:G21)</f>
        <v>18</v>
      </c>
      <c r="M21" s="256"/>
      <c r="O21" s="256"/>
    </row>
    <row r="22" spans="1:15" x14ac:dyDescent="0.3">
      <c r="A22" s="294" t="str">
        <f>A5</f>
        <v>computadores e periféricos</v>
      </c>
      <c r="C22" s="258">
        <f>I38</f>
        <v>572</v>
      </c>
      <c r="D22" s="260"/>
      <c r="E22" s="258">
        <v>1806</v>
      </c>
      <c r="F22" s="260"/>
      <c r="G22" s="258">
        <v>0</v>
      </c>
      <c r="H22" s="260"/>
      <c r="I22" s="258">
        <f>SUM(C22:G22)</f>
        <v>2378</v>
      </c>
      <c r="M22" s="256"/>
      <c r="O22" s="256"/>
    </row>
    <row r="23" spans="1:15" ht="30" x14ac:dyDescent="0.3">
      <c r="A23" s="294" t="str">
        <f>A6</f>
        <v>moveis e utensílios administrativos</v>
      </c>
      <c r="C23" s="258">
        <f>I39</f>
        <v>83</v>
      </c>
      <c r="D23" s="260"/>
      <c r="E23" s="258">
        <v>0</v>
      </c>
      <c r="F23" s="260"/>
      <c r="G23" s="258">
        <v>0</v>
      </c>
      <c r="H23" s="260"/>
      <c r="I23" s="258">
        <f>SUM(C23:G23)</f>
        <v>83</v>
      </c>
      <c r="M23" s="256"/>
      <c r="O23" s="256"/>
    </row>
    <row r="24" spans="1:15" x14ac:dyDescent="0.3">
      <c r="A24" s="294" t="str">
        <f>A7</f>
        <v>benfeitoria em bens terceiros</v>
      </c>
      <c r="C24" s="258">
        <f>I40</f>
        <v>34</v>
      </c>
      <c r="D24" s="260"/>
      <c r="E24" s="258">
        <v>1048</v>
      </c>
      <c r="F24" s="260"/>
      <c r="G24" s="258">
        <v>0</v>
      </c>
      <c r="H24" s="260"/>
      <c r="I24" s="258">
        <f>SUM(C24:G24)</f>
        <v>1082</v>
      </c>
      <c r="M24" s="256"/>
      <c r="O24" s="256"/>
    </row>
    <row r="25" spans="1:15" x14ac:dyDescent="0.3">
      <c r="A25" s="312" t="s">
        <v>179</v>
      </c>
      <c r="C25" s="265">
        <f>SUM(C21:C24)</f>
        <v>706</v>
      </c>
      <c r="D25" s="259"/>
      <c r="E25" s="265">
        <f>SUM(E21:E24)</f>
        <v>2855</v>
      </c>
      <c r="F25" s="260"/>
      <c r="G25" s="265">
        <f>SUM(G21:G24)</f>
        <v>0</v>
      </c>
      <c r="I25" s="265">
        <f>SUM(I21:I24)</f>
        <v>3561</v>
      </c>
    </row>
    <row r="26" spans="1:15" x14ac:dyDescent="0.3">
      <c r="A26" s="294"/>
      <c r="C26" s="252"/>
      <c r="E26" s="252"/>
      <c r="G26" s="252"/>
      <c r="I26" s="251"/>
    </row>
    <row r="27" spans="1:15" x14ac:dyDescent="0.3">
      <c r="A27" s="312" t="s">
        <v>185</v>
      </c>
      <c r="C27" s="266">
        <f>C20</f>
        <v>44196</v>
      </c>
      <c r="E27" s="269" t="s">
        <v>183</v>
      </c>
      <c r="G27" s="269" t="s">
        <v>184</v>
      </c>
      <c r="I27" s="270">
        <f>I20</f>
        <v>44561</v>
      </c>
    </row>
    <row r="28" spans="1:15" ht="30" x14ac:dyDescent="0.3">
      <c r="A28" s="294" t="str">
        <f>A4</f>
        <v>maquinas/equipamentos administrativos</v>
      </c>
      <c r="C28" s="258">
        <f>I44</f>
        <v>-6</v>
      </c>
      <c r="D28" s="260"/>
      <c r="E28" s="258">
        <v>-2</v>
      </c>
      <c r="F28" s="260"/>
      <c r="G28" s="258">
        <v>0</v>
      </c>
      <c r="H28" s="260"/>
      <c r="I28" s="258">
        <f>SUM(C28:G28)</f>
        <v>-8</v>
      </c>
      <c r="K28" s="256"/>
      <c r="M28" s="256"/>
      <c r="O28" s="256"/>
    </row>
    <row r="29" spans="1:15" x14ac:dyDescent="0.3">
      <c r="A29" s="294" t="str">
        <f>A5</f>
        <v>computadores e periféricos</v>
      </c>
      <c r="C29" s="258">
        <f>I45</f>
        <v>-223</v>
      </c>
      <c r="D29" s="260"/>
      <c r="E29" s="258">
        <v>-155</v>
      </c>
      <c r="F29" s="260"/>
      <c r="G29" s="258">
        <v>0</v>
      </c>
      <c r="H29" s="260"/>
      <c r="I29" s="258">
        <f>SUM(C29:G29)</f>
        <v>-378</v>
      </c>
      <c r="K29" s="256"/>
      <c r="M29" s="256"/>
      <c r="O29" s="256"/>
    </row>
    <row r="30" spans="1:15" ht="30" x14ac:dyDescent="0.3">
      <c r="A30" s="294" t="str">
        <f>A6</f>
        <v>moveis e utensílios administrativos</v>
      </c>
      <c r="C30" s="258">
        <f>I46</f>
        <v>-23</v>
      </c>
      <c r="D30" s="260"/>
      <c r="E30" s="258">
        <v>-8</v>
      </c>
      <c r="F30" s="260"/>
      <c r="G30" s="258">
        <v>0</v>
      </c>
      <c r="H30" s="260"/>
      <c r="I30" s="258">
        <f>SUM(C30:G30)</f>
        <v>-31</v>
      </c>
      <c r="K30" s="256"/>
      <c r="M30" s="256"/>
      <c r="O30" s="256"/>
    </row>
    <row r="31" spans="1:15" x14ac:dyDescent="0.3">
      <c r="A31" s="294" t="str">
        <f>A7</f>
        <v>benfeitoria em bens terceiros</v>
      </c>
      <c r="C31" s="258">
        <f>I47</f>
        <v>-5</v>
      </c>
      <c r="D31" s="260"/>
      <c r="E31" s="258">
        <v>-3</v>
      </c>
      <c r="F31" s="260"/>
      <c r="G31" s="258">
        <v>0</v>
      </c>
      <c r="H31" s="260"/>
      <c r="I31" s="258">
        <f>SUM(C31:G31)</f>
        <v>-8</v>
      </c>
      <c r="K31" s="256"/>
      <c r="M31" s="256"/>
      <c r="O31" s="256"/>
    </row>
    <row r="32" spans="1:15" x14ac:dyDescent="0.3">
      <c r="A32" s="312" t="s">
        <v>179</v>
      </c>
      <c r="C32" s="265">
        <f>SUM(C28:C31)</f>
        <v>-257</v>
      </c>
      <c r="D32" s="259"/>
      <c r="E32" s="265">
        <f>SUM(E28:E31)</f>
        <v>-168</v>
      </c>
      <c r="F32" s="260"/>
      <c r="G32" s="265">
        <f>SUM(G28:G31)</f>
        <v>0</v>
      </c>
      <c r="I32" s="265">
        <f>SUM(I28:I31)</f>
        <v>-425</v>
      </c>
    </row>
    <row r="33" spans="1:15" x14ac:dyDescent="0.3">
      <c r="G33" s="256"/>
    </row>
    <row r="34" spans="1:15" x14ac:dyDescent="0.3">
      <c r="A34" s="312" t="s">
        <v>186</v>
      </c>
      <c r="C34" s="265">
        <f>SUM(C25,C32)</f>
        <v>449</v>
      </c>
      <c r="D34" s="260"/>
      <c r="E34" s="265">
        <f>SUM(E25,E32)</f>
        <v>2687</v>
      </c>
      <c r="F34" s="260"/>
      <c r="G34" s="265">
        <f>SUM(G25,G32)</f>
        <v>0</v>
      </c>
      <c r="H34" s="260"/>
      <c r="I34" s="265">
        <f>SUM(I25,I32)</f>
        <v>3136</v>
      </c>
    </row>
    <row r="36" spans="1:15" x14ac:dyDescent="0.3">
      <c r="A36" s="312" t="s">
        <v>180</v>
      </c>
      <c r="C36" s="266">
        <f>C43</f>
        <v>43830</v>
      </c>
      <c r="E36" s="267" t="s">
        <v>183</v>
      </c>
      <c r="G36" s="267" t="s">
        <v>184</v>
      </c>
      <c r="I36" s="268">
        <f>EOMONTH(C36,12)</f>
        <v>44196</v>
      </c>
    </row>
    <row r="37" spans="1:15" ht="30" x14ac:dyDescent="0.3">
      <c r="A37" s="294" t="str">
        <f>A4</f>
        <v>maquinas/equipamentos administrativos</v>
      </c>
      <c r="C37" s="258">
        <v>31</v>
      </c>
      <c r="D37" s="260"/>
      <c r="E37" s="258">
        <v>7</v>
      </c>
      <c r="F37" s="260"/>
      <c r="G37" s="258">
        <v>-21</v>
      </c>
      <c r="H37" s="260"/>
      <c r="I37" s="258">
        <f>SUM(C37:G37)</f>
        <v>17</v>
      </c>
      <c r="K37" s="256"/>
      <c r="M37" s="256"/>
      <c r="O37" s="256"/>
    </row>
    <row r="38" spans="1:15" x14ac:dyDescent="0.3">
      <c r="A38" s="294" t="str">
        <f>A5</f>
        <v>computadores e periféricos</v>
      </c>
      <c r="C38" s="258">
        <v>377</v>
      </c>
      <c r="D38" s="260"/>
      <c r="E38" s="258">
        <v>195</v>
      </c>
      <c r="F38" s="260"/>
      <c r="G38" s="258">
        <v>0</v>
      </c>
      <c r="H38" s="260"/>
      <c r="I38" s="258">
        <f>SUM(C38:G38)</f>
        <v>572</v>
      </c>
      <c r="K38" s="256"/>
      <c r="M38" s="256"/>
      <c r="O38" s="256"/>
    </row>
    <row r="39" spans="1:15" ht="30" x14ac:dyDescent="0.3">
      <c r="A39" s="294" t="str">
        <f>A6</f>
        <v>moveis e utensílios administrativos</v>
      </c>
      <c r="C39" s="258">
        <v>59</v>
      </c>
      <c r="D39" s="260"/>
      <c r="E39" s="258">
        <v>24</v>
      </c>
      <c r="F39" s="260"/>
      <c r="G39" s="258">
        <v>0</v>
      </c>
      <c r="H39" s="260"/>
      <c r="I39" s="258">
        <f>SUM(C39:G39)</f>
        <v>83</v>
      </c>
      <c r="K39" s="256"/>
      <c r="M39" s="256"/>
      <c r="O39" s="256"/>
    </row>
    <row r="40" spans="1:15" x14ac:dyDescent="0.3">
      <c r="A40" s="294" t="str">
        <f>A7</f>
        <v>benfeitoria em bens terceiros</v>
      </c>
      <c r="C40" s="258">
        <v>34</v>
      </c>
      <c r="D40" s="260"/>
      <c r="E40" s="258">
        <v>0</v>
      </c>
      <c r="F40" s="260"/>
      <c r="G40" s="258">
        <v>0</v>
      </c>
      <c r="H40" s="260"/>
      <c r="I40" s="258">
        <f>SUM(C40:G40)</f>
        <v>34</v>
      </c>
      <c r="K40" s="256"/>
      <c r="M40" s="256"/>
      <c r="O40" s="256"/>
    </row>
    <row r="41" spans="1:15" x14ac:dyDescent="0.3">
      <c r="A41" s="312" t="s">
        <v>179</v>
      </c>
      <c r="C41" s="265">
        <f>SUM(C37:C40)</f>
        <v>501</v>
      </c>
      <c r="D41" s="259"/>
      <c r="E41" s="265">
        <f>SUM(E37:E40)</f>
        <v>226</v>
      </c>
      <c r="F41" s="260"/>
      <c r="G41" s="265">
        <f>SUM(G37:G40)</f>
        <v>-21</v>
      </c>
      <c r="I41" s="265">
        <f>SUM(I37:I40)</f>
        <v>706</v>
      </c>
    </row>
    <row r="42" spans="1:15" x14ac:dyDescent="0.3">
      <c r="A42" s="294"/>
      <c r="C42" s="252"/>
      <c r="D42" s="256"/>
      <c r="E42" s="264"/>
      <c r="F42" s="256"/>
      <c r="G42" s="264"/>
      <c r="I42" s="251"/>
    </row>
    <row r="43" spans="1:15" x14ac:dyDescent="0.3">
      <c r="A43" s="312" t="s">
        <v>185</v>
      </c>
      <c r="C43" s="266">
        <v>43830</v>
      </c>
      <c r="E43" s="269" t="s">
        <v>183</v>
      </c>
      <c r="G43" s="269" t="s">
        <v>184</v>
      </c>
      <c r="I43" s="270">
        <v>44196</v>
      </c>
    </row>
    <row r="44" spans="1:15" ht="30" x14ac:dyDescent="0.3">
      <c r="A44" s="294" t="str">
        <f>A4</f>
        <v>maquinas/equipamentos administrativos</v>
      </c>
      <c r="C44" s="258">
        <v>-7</v>
      </c>
      <c r="D44" s="260"/>
      <c r="E44" s="258">
        <v>-19</v>
      </c>
      <c r="F44" s="260"/>
      <c r="G44" s="258">
        <v>20</v>
      </c>
      <c r="H44" s="260"/>
      <c r="I44" s="258">
        <f>SUM(C44:G44)</f>
        <v>-6</v>
      </c>
      <c r="K44" s="256"/>
      <c r="M44" s="256"/>
      <c r="O44" s="256"/>
    </row>
    <row r="45" spans="1:15" x14ac:dyDescent="0.3">
      <c r="A45" s="294" t="str">
        <f>A5</f>
        <v>computadores e periféricos</v>
      </c>
      <c r="C45" s="258">
        <v>-139</v>
      </c>
      <c r="D45" s="260"/>
      <c r="E45" s="258">
        <v>-84</v>
      </c>
      <c r="F45" s="260"/>
      <c r="G45" s="258">
        <v>0</v>
      </c>
      <c r="H45" s="260"/>
      <c r="I45" s="258">
        <f>SUM(C45:G45)</f>
        <v>-223</v>
      </c>
      <c r="K45" s="256"/>
      <c r="M45" s="256"/>
      <c r="O45" s="256"/>
    </row>
    <row r="46" spans="1:15" ht="30" x14ac:dyDescent="0.3">
      <c r="A46" s="294" t="str">
        <f>A6</f>
        <v>moveis e utensílios administrativos</v>
      </c>
      <c r="C46" s="258">
        <v>-8</v>
      </c>
      <c r="D46" s="260"/>
      <c r="E46" s="258">
        <v>-15</v>
      </c>
      <c r="F46" s="260"/>
      <c r="G46" s="258">
        <v>0</v>
      </c>
      <c r="H46" s="260"/>
      <c r="I46" s="258">
        <f>SUM(C46:G46)</f>
        <v>-23</v>
      </c>
      <c r="K46" s="256"/>
      <c r="M46" s="256"/>
      <c r="O46" s="256"/>
    </row>
    <row r="47" spans="1:15" x14ac:dyDescent="0.3">
      <c r="A47" s="294" t="str">
        <f>A7</f>
        <v>benfeitoria em bens terceiros</v>
      </c>
      <c r="C47" s="258">
        <v>-3</v>
      </c>
      <c r="D47" s="260"/>
      <c r="E47" s="258">
        <v>-2</v>
      </c>
      <c r="F47" s="260"/>
      <c r="G47" s="258">
        <v>0</v>
      </c>
      <c r="H47" s="260"/>
      <c r="I47" s="258">
        <f>SUM(C47:G47)</f>
        <v>-5</v>
      </c>
      <c r="K47" s="256"/>
      <c r="M47" s="256"/>
      <c r="O47" s="256"/>
    </row>
    <row r="48" spans="1:15" x14ac:dyDescent="0.3">
      <c r="A48" s="312" t="s">
        <v>179</v>
      </c>
      <c r="C48" s="265">
        <f>SUM(C44:C47)</f>
        <v>-157</v>
      </c>
      <c r="D48" s="259"/>
      <c r="E48" s="265">
        <f>SUM(E44:E47)</f>
        <v>-120</v>
      </c>
      <c r="F48" s="260"/>
      <c r="G48" s="265">
        <f>SUM(G44:G47)</f>
        <v>20</v>
      </c>
      <c r="I48" s="265">
        <f>SUM(I44:I47)</f>
        <v>-257</v>
      </c>
    </row>
    <row r="50" spans="1:9" x14ac:dyDescent="0.3">
      <c r="A50" s="312" t="s">
        <v>186</v>
      </c>
      <c r="C50" s="265">
        <f>SUM(C41,C48)</f>
        <v>344</v>
      </c>
      <c r="D50" s="260"/>
      <c r="E50" s="265">
        <f>SUM(E41,E48)</f>
        <v>106</v>
      </c>
      <c r="F50" s="260"/>
      <c r="G50" s="265">
        <f>SUM(G41,G48)</f>
        <v>-1</v>
      </c>
      <c r="H50" s="260"/>
      <c r="I50" s="265">
        <f>SUM(I41,I48)</f>
        <v>449</v>
      </c>
    </row>
    <row r="51" spans="1:9" x14ac:dyDescent="0.3">
      <c r="I51" s="256"/>
    </row>
    <row r="52" spans="1:9" x14ac:dyDescent="0.3">
      <c r="G52" s="256"/>
    </row>
    <row r="53" spans="1:9" x14ac:dyDescent="0.3">
      <c r="G53" s="256"/>
    </row>
    <row r="56" spans="1:9" x14ac:dyDescent="0.3">
      <c r="E56" s="256"/>
    </row>
  </sheetData>
  <mergeCells count="12">
    <mergeCell ref="I2:I3"/>
    <mergeCell ref="B10:F10"/>
    <mergeCell ref="B1:F1"/>
    <mergeCell ref="A2:A3"/>
    <mergeCell ref="C2:C3"/>
    <mergeCell ref="E2:E3"/>
    <mergeCell ref="G2:G3"/>
    <mergeCell ref="A11:A12"/>
    <mergeCell ref="C11:C12"/>
    <mergeCell ref="E11:E12"/>
    <mergeCell ref="G11:G12"/>
    <mergeCell ref="I11:I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7E1B-B14B-4C41-98CA-669660E5CB30}">
  <sheetPr>
    <tabColor rgb="FF00FFFF"/>
  </sheetPr>
  <dimension ref="A1:F12"/>
  <sheetViews>
    <sheetView showGridLines="0" zoomScale="80" zoomScaleNormal="80" workbookViewId="0">
      <selection activeCell="C4" sqref="C4"/>
    </sheetView>
  </sheetViews>
  <sheetFormatPr defaultColWidth="9.140625" defaultRowHeight="15" x14ac:dyDescent="0.3"/>
  <cols>
    <col min="1" max="1" width="42.85546875" style="116" bestFit="1" customWidth="1"/>
    <col min="2" max="3" width="11.5703125" style="116" bestFit="1" customWidth="1"/>
    <col min="4" max="16384" width="9.140625" style="116"/>
  </cols>
  <sheetData>
    <row r="1" spans="1:6" ht="15.75" thickBot="1" x14ac:dyDescent="0.35">
      <c r="A1" s="253" t="s">
        <v>265</v>
      </c>
      <c r="B1" s="242">
        <v>2021</v>
      </c>
      <c r="C1" s="243">
        <v>2020</v>
      </c>
    </row>
    <row r="2" spans="1:6" x14ac:dyDescent="0.3">
      <c r="A2" s="244" t="s">
        <v>263</v>
      </c>
      <c r="B2" s="245">
        <v>1910</v>
      </c>
      <c r="C2" s="246">
        <v>915</v>
      </c>
    </row>
    <row r="3" spans="1:6" ht="15.75" thickBot="1" x14ac:dyDescent="0.35">
      <c r="A3" s="244" t="s">
        <v>264</v>
      </c>
      <c r="B3" s="245">
        <v>1056</v>
      </c>
      <c r="C3" s="246">
        <v>423</v>
      </c>
      <c r="E3" s="256"/>
      <c r="F3" s="256"/>
    </row>
    <row r="4" spans="1:6" ht="15.75" thickBot="1" x14ac:dyDescent="0.35">
      <c r="B4" s="247">
        <f>SUM(B2:B3)</f>
        <v>2966</v>
      </c>
      <c r="C4" s="247">
        <f>SUM(C2:C3)</f>
        <v>1338</v>
      </c>
    </row>
    <row r="5" spans="1:6" ht="15.75" thickTop="1" x14ac:dyDescent="0.3"/>
    <row r="6" spans="1:6" ht="15.75" thickBot="1" x14ac:dyDescent="0.35">
      <c r="A6" s="253" t="s">
        <v>266</v>
      </c>
      <c r="B6" s="242">
        <v>2021</v>
      </c>
      <c r="C6" s="243">
        <v>2020</v>
      </c>
    </row>
    <row r="7" spans="1:6" x14ac:dyDescent="0.3">
      <c r="A7" s="244" t="s">
        <v>267</v>
      </c>
      <c r="B7" s="245">
        <f>29+1</f>
        <v>30</v>
      </c>
      <c r="C7" s="246">
        <v>28</v>
      </c>
    </row>
    <row r="8" spans="1:6" x14ac:dyDescent="0.3">
      <c r="A8" s="244" t="s">
        <v>269</v>
      </c>
      <c r="B8" s="245">
        <v>6151</v>
      </c>
      <c r="C8" s="246">
        <v>2000</v>
      </c>
    </row>
    <row r="9" spans="1:6" x14ac:dyDescent="0.3">
      <c r="A9" s="297" t="s">
        <v>268</v>
      </c>
      <c r="B9" s="245">
        <v>2394</v>
      </c>
      <c r="C9" s="246">
        <v>2020</v>
      </c>
    </row>
    <row r="10" spans="1:6" ht="15.75" thickBot="1" x14ac:dyDescent="0.35">
      <c r="A10" s="297" t="s">
        <v>145</v>
      </c>
      <c r="B10" s="245">
        <v>24</v>
      </c>
      <c r="C10" s="246">
        <f>5415.76/1000</f>
        <v>5.4157600000000006</v>
      </c>
    </row>
    <row r="11" spans="1:6" ht="15.75" thickBot="1" x14ac:dyDescent="0.35">
      <c r="B11" s="247">
        <f>SUM(B7:B10)</f>
        <v>8599</v>
      </c>
      <c r="C11" s="247">
        <f>SUM(C7:C10)</f>
        <v>4053.4157599999999</v>
      </c>
    </row>
    <row r="12" spans="1:6" ht="15.75" thickTop="1" x14ac:dyDescent="0.3">
      <c r="B12" s="256">
        <f>+B11-Passivo!C11</f>
        <v>-0.21450999999979103</v>
      </c>
      <c r="C12" s="256">
        <f>+C11-Passivo!D11</f>
        <v>0.4499799999998686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3E77-7DB5-4238-9880-DC197615C619}">
  <sheetPr>
    <tabColor rgb="FF00FFFF"/>
  </sheetPr>
  <dimension ref="A1:D10"/>
  <sheetViews>
    <sheetView showGridLines="0" zoomScale="80" zoomScaleNormal="80" workbookViewId="0">
      <selection activeCell="C4" sqref="C4"/>
    </sheetView>
  </sheetViews>
  <sheetFormatPr defaultColWidth="9.140625" defaultRowHeight="15" x14ac:dyDescent="0.3"/>
  <cols>
    <col min="1" max="1" width="26.42578125" style="116" bestFit="1" customWidth="1"/>
    <col min="2" max="2" width="13.5703125" style="116" bestFit="1" customWidth="1"/>
    <col min="3" max="3" width="14.85546875" style="116" bestFit="1" customWidth="1"/>
    <col min="4" max="4" width="11.5703125" style="116" bestFit="1" customWidth="1"/>
    <col min="5" max="16384" width="9.140625" style="116"/>
  </cols>
  <sheetData>
    <row r="1" spans="1:4" ht="15.75" thickBot="1" x14ac:dyDescent="0.35">
      <c r="B1" s="242">
        <v>2021</v>
      </c>
      <c r="C1" s="243">
        <v>2020</v>
      </c>
    </row>
    <row r="2" spans="1:4" x14ac:dyDescent="0.3">
      <c r="A2" s="244" t="s">
        <v>262</v>
      </c>
      <c r="B2" s="245">
        <v>0</v>
      </c>
      <c r="C2" s="246">
        <v>34047.019999999997</v>
      </c>
      <c r="D2" s="313">
        <f>+ROUND(C2/1000,0)</f>
        <v>34</v>
      </c>
    </row>
    <row r="3" spans="1:4" x14ac:dyDescent="0.3">
      <c r="A3" s="244" t="s">
        <v>242</v>
      </c>
      <c r="B3" s="245">
        <v>322194.13</v>
      </c>
      <c r="C3" s="246">
        <v>0</v>
      </c>
      <c r="D3" s="313">
        <f t="shared" ref="D3:D8" si="0">+ROUND(C3/1000,0)</f>
        <v>0</v>
      </c>
    </row>
    <row r="4" spans="1:4" x14ac:dyDescent="0.3">
      <c r="A4" s="244" t="s">
        <v>204</v>
      </c>
      <c r="B4" s="245">
        <v>661262.56999999995</v>
      </c>
      <c r="C4" s="246">
        <v>296408.34999999998</v>
      </c>
      <c r="D4" s="313">
        <f t="shared" si="0"/>
        <v>296</v>
      </c>
    </row>
    <row r="5" spans="1:4" x14ac:dyDescent="0.3">
      <c r="A5" s="244" t="s">
        <v>205</v>
      </c>
      <c r="B5" s="245">
        <v>208607.83</v>
      </c>
      <c r="C5" s="246">
        <v>99219.85</v>
      </c>
      <c r="D5" s="313">
        <f t="shared" si="0"/>
        <v>99</v>
      </c>
    </row>
    <row r="6" spans="1:4" x14ac:dyDescent="0.3">
      <c r="A6" s="244" t="s">
        <v>206</v>
      </c>
      <c r="B6" s="245">
        <v>499376.35</v>
      </c>
      <c r="C6" s="246">
        <v>234102.79</v>
      </c>
      <c r="D6" s="313">
        <f t="shared" si="0"/>
        <v>234</v>
      </c>
    </row>
    <row r="7" spans="1:4" x14ac:dyDescent="0.3">
      <c r="A7" s="244" t="s">
        <v>207</v>
      </c>
      <c r="B7" s="245">
        <v>1763857.95</v>
      </c>
      <c r="C7" s="246">
        <v>1009518.25</v>
      </c>
      <c r="D7" s="313">
        <f t="shared" si="0"/>
        <v>1010</v>
      </c>
    </row>
    <row r="8" spans="1:4" ht="15.75" thickBot="1" x14ac:dyDescent="0.35">
      <c r="A8" s="244" t="s">
        <v>208</v>
      </c>
      <c r="B8" s="245">
        <v>613654.28</v>
      </c>
      <c r="C8" s="246">
        <v>351311.65</v>
      </c>
      <c r="D8" s="313">
        <f t="shared" si="0"/>
        <v>351</v>
      </c>
    </row>
    <row r="9" spans="1:4" ht="15.75" thickBot="1" x14ac:dyDescent="0.35">
      <c r="B9" s="247">
        <f>SUM(B2:B8)</f>
        <v>4068953.1100000003</v>
      </c>
      <c r="C9" s="247">
        <f>SUM(C2:C8)</f>
        <v>2024607.9100000001</v>
      </c>
    </row>
    <row r="10" spans="1:4" ht="15.75" thickTop="1" x14ac:dyDescent="0.3"/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6D5A-B313-481E-9BC6-2854A3CD2C8A}">
  <sheetPr>
    <tabColor rgb="FF00FFFF"/>
  </sheetPr>
  <dimension ref="A1:G19"/>
  <sheetViews>
    <sheetView showGridLines="0" zoomScale="80" zoomScaleNormal="80" workbookViewId="0">
      <selection activeCell="C4" sqref="C4"/>
    </sheetView>
  </sheetViews>
  <sheetFormatPr defaultColWidth="9.140625" defaultRowHeight="15" x14ac:dyDescent="0.3"/>
  <cols>
    <col min="1" max="1" width="25.7109375" style="116" bestFit="1" customWidth="1"/>
    <col min="2" max="3" width="9.7109375" style="116" bestFit="1" customWidth="1"/>
    <col min="4" max="6" width="9.140625" style="116"/>
    <col min="7" max="7" width="20.85546875" style="116" bestFit="1" customWidth="1"/>
    <col min="8" max="16384" width="9.140625" style="116"/>
  </cols>
  <sheetData>
    <row r="1" spans="1:7" ht="15.75" thickBot="1" x14ac:dyDescent="0.35">
      <c r="A1" s="253"/>
      <c r="B1" s="242">
        <v>2021</v>
      </c>
      <c r="C1" s="243">
        <v>2020</v>
      </c>
    </row>
    <row r="2" spans="1:7" x14ac:dyDescent="0.3">
      <c r="A2" s="244" t="s">
        <v>209</v>
      </c>
      <c r="B2" s="245">
        <v>17336.62</v>
      </c>
      <c r="C2" s="246">
        <v>10139.530000000001</v>
      </c>
    </row>
    <row r="3" spans="1:7" x14ac:dyDescent="0.3">
      <c r="A3" s="244" t="s">
        <v>210</v>
      </c>
      <c r="B3" s="245">
        <v>66297.19</v>
      </c>
      <c r="C3" s="246">
        <v>11834.37</v>
      </c>
    </row>
    <row r="4" spans="1:7" x14ac:dyDescent="0.3">
      <c r="A4" s="244" t="s">
        <v>211</v>
      </c>
      <c r="B4" s="245">
        <v>94491.15</v>
      </c>
      <c r="C4" s="246">
        <v>61413.08</v>
      </c>
    </row>
    <row r="5" spans="1:7" x14ac:dyDescent="0.3">
      <c r="A5" s="244" t="s">
        <v>187</v>
      </c>
      <c r="B5" s="245">
        <v>31250.95</v>
      </c>
      <c r="C5" s="246">
        <v>14785.68</v>
      </c>
    </row>
    <row r="6" spans="1:7" x14ac:dyDescent="0.3">
      <c r="A6" s="244" t="s">
        <v>188</v>
      </c>
      <c r="B6" s="245">
        <v>95566.25</v>
      </c>
      <c r="C6" s="246">
        <v>53694.13</v>
      </c>
    </row>
    <row r="7" spans="1:7" ht="15.75" thickBot="1" x14ac:dyDescent="0.35">
      <c r="A7" s="244" t="s">
        <v>212</v>
      </c>
      <c r="B7" s="245">
        <v>8350.0400000000009</v>
      </c>
      <c r="C7" s="246">
        <v>2029.3</v>
      </c>
      <c r="G7" s="313"/>
    </row>
    <row r="8" spans="1:7" ht="15.75" thickBot="1" x14ac:dyDescent="0.35">
      <c r="B8" s="247">
        <f>SUM(B2:B7)</f>
        <v>313292.2</v>
      </c>
      <c r="C8" s="247">
        <f>SUM(C2:C7)</f>
        <v>153896.09</v>
      </c>
    </row>
    <row r="9" spans="1:7" ht="15.75" thickTop="1" x14ac:dyDescent="0.3">
      <c r="G9" s="314"/>
    </row>
    <row r="18" spans="7:7" ht="285" x14ac:dyDescent="0.3">
      <c r="G18" s="315" t="s">
        <v>293</v>
      </c>
    </row>
    <row r="19" spans="7:7" ht="180" x14ac:dyDescent="0.3">
      <c r="G19" s="315" t="s">
        <v>294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768D2-3B55-4779-BC1F-5C5268DEADB5}">
  <sheetPr>
    <tabColor rgb="FF00FFFF"/>
  </sheetPr>
  <dimension ref="A1:D8"/>
  <sheetViews>
    <sheetView showGridLines="0" zoomScale="80" zoomScaleNormal="80" workbookViewId="0">
      <selection activeCell="C4" sqref="C4"/>
    </sheetView>
  </sheetViews>
  <sheetFormatPr defaultColWidth="9.140625" defaultRowHeight="15" x14ac:dyDescent="0.3"/>
  <cols>
    <col min="1" max="1" width="34.5703125" style="116" bestFit="1" customWidth="1"/>
    <col min="2" max="2" width="13.5703125" style="116" bestFit="1" customWidth="1"/>
    <col min="3" max="3" width="14.85546875" style="116" bestFit="1" customWidth="1"/>
    <col min="4" max="16384" width="9.140625" style="116"/>
  </cols>
  <sheetData>
    <row r="1" spans="1:4" ht="15.75" thickBot="1" x14ac:dyDescent="0.35">
      <c r="B1" s="242">
        <v>2021</v>
      </c>
      <c r="C1" s="243">
        <v>2020</v>
      </c>
    </row>
    <row r="2" spans="1:4" x14ac:dyDescent="0.3">
      <c r="A2" s="244" t="s">
        <v>153</v>
      </c>
      <c r="B2" s="245">
        <v>16015</v>
      </c>
      <c r="C2" s="246">
        <v>12774</v>
      </c>
      <c r="D2" s="116">
        <f>ROUND(B2/1000,0)</f>
        <v>16</v>
      </c>
    </row>
    <row r="3" spans="1:4" x14ac:dyDescent="0.3">
      <c r="A3" s="244"/>
      <c r="B3" s="245"/>
      <c r="C3" s="246"/>
    </row>
    <row r="4" spans="1:4" x14ac:dyDescent="0.3">
      <c r="A4" s="244" t="s">
        <v>332</v>
      </c>
      <c r="B4" s="245">
        <v>-798</v>
      </c>
      <c r="C4" s="246">
        <v>-642</v>
      </c>
      <c r="D4" s="116">
        <f>-ROUND(B4/1000,0)</f>
        <v>1</v>
      </c>
    </row>
    <row r="5" spans="1:4" x14ac:dyDescent="0.3">
      <c r="A5" s="244" t="s">
        <v>333</v>
      </c>
      <c r="B5" s="245">
        <v>-252</v>
      </c>
      <c r="C5" s="246">
        <v>-202</v>
      </c>
      <c r="D5" s="116">
        <f t="shared" ref="D5:D6" si="0">-ROUND(B5/1000,0)</f>
        <v>0</v>
      </c>
    </row>
    <row r="6" spans="1:4" ht="15.75" thickBot="1" x14ac:dyDescent="0.35">
      <c r="A6" s="244" t="s">
        <v>334</v>
      </c>
      <c r="B6" s="245">
        <v>-1159</v>
      </c>
      <c r="C6" s="246">
        <v>-932</v>
      </c>
      <c r="D6" s="116">
        <f t="shared" si="0"/>
        <v>1</v>
      </c>
    </row>
    <row r="7" spans="1:4" ht="15.75" thickBot="1" x14ac:dyDescent="0.35">
      <c r="B7" s="247">
        <f>SUM(B2:B6)</f>
        <v>13806</v>
      </c>
      <c r="C7" s="247">
        <f>SUM(C2:C6)</f>
        <v>10998</v>
      </c>
    </row>
    <row r="8" spans="1:4" ht="15.75" thickTop="1" x14ac:dyDescent="0.3"/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4AACC-F68A-44C1-BEF8-4FE91AB64AF9}">
  <sheetPr>
    <tabColor rgb="FF00FFFF"/>
  </sheetPr>
  <dimension ref="A1:C4"/>
  <sheetViews>
    <sheetView showGridLines="0" zoomScale="80" zoomScaleNormal="80" workbookViewId="0">
      <selection activeCell="C4" sqref="C4"/>
    </sheetView>
  </sheetViews>
  <sheetFormatPr defaultColWidth="9.140625" defaultRowHeight="15" x14ac:dyDescent="0.3"/>
  <cols>
    <col min="1" max="1" width="22.140625" style="116" bestFit="1" customWidth="1"/>
    <col min="2" max="2" width="13.5703125" style="116" bestFit="1" customWidth="1"/>
    <col min="3" max="3" width="14.85546875" style="116" bestFit="1" customWidth="1"/>
    <col min="4" max="16384" width="9.140625" style="116"/>
  </cols>
  <sheetData>
    <row r="1" spans="1:3" ht="15.75" thickBot="1" x14ac:dyDescent="0.35">
      <c r="B1" s="242">
        <v>2021</v>
      </c>
      <c r="C1" s="243">
        <v>2020</v>
      </c>
    </row>
    <row r="2" spans="1:3" ht="15.75" thickBot="1" x14ac:dyDescent="0.35">
      <c r="A2" s="244" t="s">
        <v>217</v>
      </c>
      <c r="B2" s="245">
        <v>-9095246.0700000003</v>
      </c>
      <c r="C2" s="246">
        <v>-4536509.05</v>
      </c>
    </row>
    <row r="3" spans="1:3" ht="15.75" thickBot="1" x14ac:dyDescent="0.35">
      <c r="B3" s="247">
        <f>SUM(B2:B2)</f>
        <v>-9095246.0700000003</v>
      </c>
      <c r="C3" s="247">
        <f>SUM(C2:C2)</f>
        <v>-4536509.05</v>
      </c>
    </row>
    <row r="4" spans="1:3" ht="15.75" thickTop="1" x14ac:dyDescent="0.3"/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334DF-1810-4413-B48B-9F644CCFEB27}">
  <sheetPr>
    <tabColor theme="9" tint="-0.249977111117893"/>
    <pageSetUpPr fitToPage="1"/>
  </sheetPr>
  <dimension ref="A1:O51"/>
  <sheetViews>
    <sheetView showGridLines="0" view="pageBreakPreview" zoomScale="80" zoomScaleNormal="80" zoomScaleSheetLayoutView="80" workbookViewId="0">
      <selection activeCell="A31" sqref="A31:XFD32"/>
    </sheetView>
  </sheetViews>
  <sheetFormatPr defaultColWidth="11" defaultRowHeight="16.5" x14ac:dyDescent="0.3"/>
  <cols>
    <col min="1" max="1" width="46.85546875" style="119" customWidth="1"/>
    <col min="2" max="2" width="14.140625" style="119" customWidth="1"/>
    <col min="3" max="3" width="15.7109375" style="119" customWidth="1"/>
    <col min="4" max="4" width="21.42578125" style="241" customWidth="1"/>
    <col min="5" max="5" width="15.7109375" style="119" hidden="1" customWidth="1"/>
    <col min="6" max="6" width="10.85546875" style="119" bestFit="1" customWidth="1"/>
    <col min="7" max="16384" width="11" style="119"/>
  </cols>
  <sheetData>
    <row r="1" spans="1:15" x14ac:dyDescent="0.3">
      <c r="A1" s="117" t="s">
        <v>221</v>
      </c>
      <c r="B1" s="195"/>
      <c r="C1" s="117"/>
      <c r="D1" s="117"/>
      <c r="E1" s="117"/>
    </row>
    <row r="2" spans="1:15" x14ac:dyDescent="0.3">
      <c r="A2" s="117" t="s">
        <v>283</v>
      </c>
      <c r="B2" s="195"/>
      <c r="C2" s="117"/>
      <c r="D2" s="117"/>
      <c r="E2" s="117"/>
    </row>
    <row r="3" spans="1:15" x14ac:dyDescent="0.3">
      <c r="A3" s="117" t="s">
        <v>222</v>
      </c>
      <c r="B3" s="195"/>
      <c r="C3" s="195"/>
      <c r="D3" s="195"/>
      <c r="E3" s="195"/>
    </row>
    <row r="4" spans="1:15" s="228" customFormat="1" x14ac:dyDescent="0.3">
      <c r="A4" s="117" t="s">
        <v>126</v>
      </c>
      <c r="B4" s="195"/>
      <c r="C4" s="117"/>
      <c r="D4" s="117"/>
      <c r="E4" s="117"/>
    </row>
    <row r="5" spans="1:15" x14ac:dyDescent="0.3">
      <c r="A5" s="117" t="s">
        <v>290</v>
      </c>
      <c r="B5" s="229"/>
      <c r="C5" s="229"/>
      <c r="D5" s="229"/>
      <c r="E5" s="229"/>
    </row>
    <row r="6" spans="1:15" s="136" customFormat="1" ht="33" x14ac:dyDescent="0.2">
      <c r="A6" s="230" t="s">
        <v>19</v>
      </c>
      <c r="B6" s="319" t="s">
        <v>323</v>
      </c>
      <c r="C6" s="320" t="s">
        <v>324</v>
      </c>
      <c r="D6" s="321" t="s">
        <v>325</v>
      </c>
      <c r="E6" s="163">
        <v>43830</v>
      </c>
    </row>
    <row r="7" spans="1:15" x14ac:dyDescent="0.3">
      <c r="A7" s="218" t="s">
        <v>92</v>
      </c>
      <c r="B7" s="249"/>
      <c r="C7" s="202">
        <f>SUM(C8:C18)-1</f>
        <v>12096.96516</v>
      </c>
      <c r="D7" s="202">
        <f>SUM(D8:D18)</f>
        <v>19260.159330000002</v>
      </c>
      <c r="E7" s="202">
        <f>SUM(E8:E18)</f>
        <v>3993.6721900000002</v>
      </c>
    </row>
    <row r="8" spans="1:15" x14ac:dyDescent="0.3">
      <c r="A8" s="231" t="s">
        <v>282</v>
      </c>
      <c r="B8" s="249">
        <v>4</v>
      </c>
      <c r="C8" s="204">
        <v>8148.2813599999999</v>
      </c>
      <c r="D8" s="204">
        <v>16856.006430000001</v>
      </c>
      <c r="E8" s="204">
        <v>1960.7949000000001</v>
      </c>
      <c r="F8" s="316"/>
      <c r="G8" s="316"/>
    </row>
    <row r="9" spans="1:15" x14ac:dyDescent="0.3">
      <c r="A9" s="232" t="s">
        <v>285</v>
      </c>
      <c r="B9" s="249">
        <v>5</v>
      </c>
      <c r="C9" s="204">
        <f>1606.56772+104.30979</f>
        <v>1710.87751</v>
      </c>
      <c r="D9" s="204">
        <v>634.82294999999999</v>
      </c>
      <c r="E9" s="204">
        <v>814.81399999999996</v>
      </c>
      <c r="F9" s="316"/>
      <c r="G9" s="316"/>
      <c r="I9" s="298"/>
      <c r="J9" s="298"/>
    </row>
    <row r="10" spans="1:15" hidden="1" x14ac:dyDescent="0.3">
      <c r="A10" s="232" t="s">
        <v>284</v>
      </c>
      <c r="B10" s="249"/>
      <c r="C10" s="204"/>
      <c r="D10" s="204"/>
      <c r="E10" s="204"/>
      <c r="F10" s="316"/>
      <c r="G10" s="316"/>
      <c r="I10" s="298"/>
      <c r="J10" s="298"/>
    </row>
    <row r="11" spans="1:15" x14ac:dyDescent="0.3">
      <c r="A11" s="232" t="s">
        <v>286</v>
      </c>
      <c r="B11" s="249">
        <v>6</v>
      </c>
      <c r="C11" s="204">
        <v>1824.46027</v>
      </c>
      <c r="D11" s="204">
        <v>1745.3299500000001</v>
      </c>
      <c r="E11" s="204">
        <v>1003.02149</v>
      </c>
      <c r="F11" s="316"/>
      <c r="G11" s="316"/>
      <c r="I11" s="298"/>
    </row>
    <row r="12" spans="1:15" hidden="1" x14ac:dyDescent="0.3">
      <c r="A12" s="232" t="s">
        <v>287</v>
      </c>
      <c r="B12" s="249"/>
      <c r="C12" s="204">
        <v>0</v>
      </c>
      <c r="D12" s="204">
        <v>0</v>
      </c>
      <c r="E12" s="204">
        <v>197.46972</v>
      </c>
      <c r="F12" s="316"/>
      <c r="G12" s="316"/>
      <c r="I12" s="298"/>
    </row>
    <row r="13" spans="1:15" x14ac:dyDescent="0.3">
      <c r="A13" s="232" t="s">
        <v>288</v>
      </c>
      <c r="B13" s="249">
        <v>7</v>
      </c>
      <c r="C13" s="204">
        <v>414.34602000000001</v>
      </c>
      <c r="D13" s="204">
        <v>24</v>
      </c>
      <c r="E13" s="204">
        <v>17.57208</v>
      </c>
      <c r="F13" s="316"/>
      <c r="G13" s="316"/>
      <c r="H13" s="299"/>
      <c r="I13" s="298"/>
      <c r="J13" s="299"/>
    </row>
    <row r="14" spans="1:15" hidden="1" x14ac:dyDescent="0.3">
      <c r="A14" s="219" t="s">
        <v>289</v>
      </c>
      <c r="B14" s="249">
        <v>5</v>
      </c>
      <c r="C14" s="204"/>
      <c r="D14" s="204">
        <v>0</v>
      </c>
      <c r="E14" s="204">
        <v>0</v>
      </c>
      <c r="F14" s="316"/>
      <c r="G14" s="316"/>
      <c r="H14" s="251"/>
      <c r="I14" s="298"/>
    </row>
    <row r="15" spans="1:15" hidden="1" x14ac:dyDescent="0.3">
      <c r="A15" s="219" t="s">
        <v>137</v>
      </c>
      <c r="B15" s="249"/>
      <c r="C15" s="204"/>
      <c r="D15" s="204"/>
      <c r="E15" s="204"/>
      <c r="F15" s="136"/>
      <c r="H15" s="298"/>
      <c r="I15" s="251"/>
    </row>
    <row r="16" spans="1:15" hidden="1" x14ac:dyDescent="0.3">
      <c r="A16" s="232"/>
      <c r="B16" s="249"/>
      <c r="C16" s="204"/>
      <c r="D16" s="204"/>
      <c r="E16" s="204"/>
      <c r="F16" s="136"/>
      <c r="H16" s="298"/>
      <c r="I16" s="298"/>
      <c r="J16" s="299"/>
      <c r="K16" s="299"/>
      <c r="L16" s="301"/>
      <c r="M16" s="299"/>
      <c r="N16" s="304"/>
      <c r="O16" s="252"/>
    </row>
    <row r="17" spans="1:15" hidden="1" x14ac:dyDescent="0.3">
      <c r="A17" s="232"/>
      <c r="B17" s="249"/>
      <c r="C17" s="204"/>
      <c r="D17" s="204"/>
      <c r="E17" s="204"/>
      <c r="F17" s="136"/>
      <c r="H17" s="298"/>
      <c r="I17" s="298"/>
      <c r="J17" s="299"/>
      <c r="K17" s="299"/>
      <c r="L17" s="301"/>
      <c r="M17" s="299"/>
      <c r="N17" s="304"/>
      <c r="O17" s="252"/>
    </row>
    <row r="18" spans="1:15" hidden="1" x14ac:dyDescent="0.3">
      <c r="A18" s="232"/>
      <c r="B18" s="249"/>
      <c r="C18" s="204"/>
      <c r="D18" s="204"/>
      <c r="E18" s="204"/>
      <c r="F18" s="136"/>
      <c r="H18" s="298"/>
      <c r="I18" s="299"/>
      <c r="J18" s="299"/>
      <c r="K18" s="299"/>
      <c r="L18" s="301"/>
      <c r="M18" s="252"/>
      <c r="N18" s="304"/>
      <c r="O18" s="252"/>
    </row>
    <row r="19" spans="1:15" x14ac:dyDescent="0.3">
      <c r="A19" s="218" t="s">
        <v>93</v>
      </c>
      <c r="B19" s="249"/>
      <c r="C19" s="202">
        <f>SUM(C21,C26:C28)</f>
        <v>4979.9237899999998</v>
      </c>
      <c r="D19" s="202">
        <f t="shared" ref="D19:E19" si="0">SUM(D21,D26:D28)</f>
        <v>448.63968</v>
      </c>
      <c r="E19" s="202">
        <f t="shared" si="0"/>
        <v>346.51237999999995</v>
      </c>
      <c r="H19" s="298"/>
      <c r="I19" s="299"/>
      <c r="J19" s="299"/>
      <c r="K19" s="299"/>
      <c r="L19" s="301"/>
      <c r="M19" s="299"/>
      <c r="N19" s="304"/>
      <c r="O19" s="252"/>
    </row>
    <row r="20" spans="1:15" hidden="1" x14ac:dyDescent="0.3">
      <c r="A20" s="152"/>
      <c r="B20" s="249"/>
      <c r="C20" s="152"/>
      <c r="D20" s="152"/>
      <c r="E20" s="168"/>
      <c r="F20" s="136"/>
      <c r="H20" s="298"/>
      <c r="I20" s="299"/>
      <c r="K20" s="302"/>
      <c r="L20" s="300"/>
      <c r="M20" s="302"/>
      <c r="N20" s="301"/>
      <c r="O20" s="303"/>
    </row>
    <row r="21" spans="1:15" ht="18.75" x14ac:dyDescent="0.45">
      <c r="A21" s="166" t="s">
        <v>139</v>
      </c>
      <c r="B21" s="249"/>
      <c r="C21" s="233">
        <f>SUM(C22:C24)</f>
        <v>728.30744000000004</v>
      </c>
      <c r="D21" s="233">
        <f t="shared" ref="D21:E21" si="1">SUM(D22:D24)</f>
        <v>0</v>
      </c>
      <c r="E21" s="233">
        <f t="shared" si="1"/>
        <v>0</v>
      </c>
      <c r="F21" s="136"/>
    </row>
    <row r="22" spans="1:15" x14ac:dyDescent="0.3">
      <c r="A22" s="232" t="s">
        <v>138</v>
      </c>
      <c r="B22" s="249">
        <v>8</v>
      </c>
      <c r="C22" s="168">
        <v>728.30744000000004</v>
      </c>
      <c r="D22" s="168">
        <v>0</v>
      </c>
      <c r="E22" s="168"/>
      <c r="F22" s="316"/>
      <c r="G22" s="316"/>
    </row>
    <row r="23" spans="1:15" hidden="1" x14ac:dyDescent="0.3">
      <c r="A23" s="232" t="s">
        <v>295</v>
      </c>
      <c r="B23" s="249"/>
      <c r="C23" s="168">
        <v>0</v>
      </c>
      <c r="D23" s="168">
        <v>0</v>
      </c>
      <c r="E23" s="168"/>
      <c r="F23" s="316"/>
      <c r="G23" s="316"/>
    </row>
    <row r="24" spans="1:15" hidden="1" x14ac:dyDescent="0.3">
      <c r="A24" s="232" t="s">
        <v>296</v>
      </c>
      <c r="B24" s="249"/>
      <c r="C24" s="168">
        <v>0</v>
      </c>
      <c r="D24" s="168">
        <v>0</v>
      </c>
      <c r="E24" s="168"/>
      <c r="F24" s="316"/>
      <c r="G24" s="316"/>
    </row>
    <row r="25" spans="1:15" hidden="1" x14ac:dyDescent="0.3">
      <c r="A25" s="219"/>
      <c r="B25" s="249"/>
      <c r="C25" s="172"/>
      <c r="D25" s="172"/>
      <c r="E25" s="172"/>
      <c r="F25" s="136"/>
    </row>
    <row r="26" spans="1:15" x14ac:dyDescent="0.3">
      <c r="A26" s="219" t="s">
        <v>57</v>
      </c>
      <c r="B26" s="249">
        <v>9</v>
      </c>
      <c r="C26" s="168">
        <v>1116.0425499999999</v>
      </c>
      <c r="D26" s="168">
        <v>0</v>
      </c>
      <c r="E26" s="168"/>
      <c r="F26" s="316"/>
      <c r="G26" s="316"/>
      <c r="I26" s="311"/>
    </row>
    <row r="27" spans="1:15" x14ac:dyDescent="0.3">
      <c r="A27" s="219" t="s">
        <v>140</v>
      </c>
      <c r="B27" s="249">
        <v>10</v>
      </c>
      <c r="C27" s="168">
        <v>3135.5738000000001</v>
      </c>
      <c r="D27" s="168">
        <v>448.63968</v>
      </c>
      <c r="E27" s="168">
        <v>344.19387999999998</v>
      </c>
      <c r="F27" s="316"/>
      <c r="G27" s="316"/>
      <c r="J27" s="311"/>
    </row>
    <row r="28" spans="1:15" hidden="1" x14ac:dyDescent="0.3">
      <c r="A28" s="219" t="s">
        <v>141</v>
      </c>
      <c r="B28" s="249"/>
      <c r="C28" s="168"/>
      <c r="D28" s="168"/>
      <c r="E28" s="168">
        <v>2.3184999999999998</v>
      </c>
      <c r="F28" s="136"/>
    </row>
    <row r="29" spans="1:15" hidden="1" x14ac:dyDescent="0.3">
      <c r="A29" s="234"/>
      <c r="B29" s="249"/>
      <c r="C29" s="235"/>
      <c r="D29" s="235"/>
      <c r="E29" s="236"/>
      <c r="F29" s="136"/>
    </row>
    <row r="30" spans="1:15" s="136" customFormat="1" x14ac:dyDescent="0.2">
      <c r="A30" s="237" t="s">
        <v>8</v>
      </c>
      <c r="B30" s="250"/>
      <c r="C30" s="208">
        <f>SUM(C7,C19)</f>
        <v>17076.88895</v>
      </c>
      <c r="D30" s="208">
        <f>SUM(D7,D19)</f>
        <v>19708.799010000002</v>
      </c>
      <c r="E30" s="238">
        <f>SUM(E7,E19)</f>
        <v>4340.1845700000003</v>
      </c>
    </row>
    <row r="31" spans="1:15" hidden="1" x14ac:dyDescent="0.3">
      <c r="A31" s="239"/>
      <c r="B31" s="156"/>
      <c r="C31" s="223"/>
      <c r="D31" s="223"/>
      <c r="E31" s="223"/>
    </row>
    <row r="32" spans="1:15" hidden="1" x14ac:dyDescent="0.3">
      <c r="A32" s="240"/>
      <c r="B32" s="153"/>
      <c r="C32" s="225"/>
      <c r="D32" s="225"/>
      <c r="E32" s="225"/>
    </row>
    <row r="33" spans="1:8" x14ac:dyDescent="0.3">
      <c r="A33" s="306" t="s">
        <v>129</v>
      </c>
      <c r="C33" s="241"/>
      <c r="E33" s="241"/>
    </row>
    <row r="40" spans="1:8" ht="30" x14ac:dyDescent="0.3">
      <c r="G40" s="251" t="s">
        <v>316</v>
      </c>
      <c r="H40" s="252">
        <v>196</v>
      </c>
    </row>
    <row r="41" spans="1:8" ht="30" x14ac:dyDescent="0.3">
      <c r="G41" s="251" t="s">
        <v>316</v>
      </c>
      <c r="H41" s="252">
        <v>325</v>
      </c>
    </row>
    <row r="42" spans="1:8" x14ac:dyDescent="0.3">
      <c r="G42" s="251">
        <v>424</v>
      </c>
      <c r="H42" s="252">
        <v>423</v>
      </c>
    </row>
    <row r="43" spans="1:8" x14ac:dyDescent="0.3">
      <c r="G43" s="251">
        <v>224</v>
      </c>
      <c r="H43" s="252">
        <v>223</v>
      </c>
    </row>
    <row r="44" spans="1:8" x14ac:dyDescent="0.3">
      <c r="G44" s="251">
        <v>43</v>
      </c>
      <c r="H44" s="252" t="s">
        <v>317</v>
      </c>
    </row>
    <row r="45" spans="1:8" x14ac:dyDescent="0.3">
      <c r="G45" s="251">
        <v>53</v>
      </c>
      <c r="H45" s="252">
        <v>43</v>
      </c>
    </row>
    <row r="46" spans="1:8" x14ac:dyDescent="0.3">
      <c r="G46" s="251">
        <v>459</v>
      </c>
      <c r="H46" s="252">
        <v>56</v>
      </c>
    </row>
    <row r="47" spans="1:8" x14ac:dyDescent="0.3">
      <c r="G47" s="251">
        <v>341</v>
      </c>
      <c r="H47" s="252">
        <v>152</v>
      </c>
    </row>
    <row r="48" spans="1:8" x14ac:dyDescent="0.3">
      <c r="G48" s="251">
        <v>49</v>
      </c>
      <c r="H48" s="252">
        <v>54</v>
      </c>
    </row>
    <row r="49" spans="7:8" x14ac:dyDescent="0.3">
      <c r="G49" s="251">
        <v>231</v>
      </c>
      <c r="H49" s="252">
        <v>273</v>
      </c>
    </row>
    <row r="50" spans="7:8" ht="30" x14ac:dyDescent="0.3">
      <c r="G50" s="251" t="s">
        <v>318</v>
      </c>
      <c r="H50" s="252" t="s">
        <v>319</v>
      </c>
    </row>
    <row r="51" spans="7:8" x14ac:dyDescent="0.3">
      <c r="G51" s="251" t="s">
        <v>320</v>
      </c>
      <c r="H51" s="252" t="s">
        <v>318</v>
      </c>
    </row>
  </sheetData>
  <pageMargins left="1" right="1" top="1" bottom="1" header="0.5" footer="0.5"/>
  <pageSetup paperSize="9" scale="83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38EA6-E6B4-43B0-9984-FDE009E2ABAE}">
  <sheetPr>
    <tabColor rgb="FF00FFFF"/>
  </sheetPr>
  <dimension ref="A1:C5"/>
  <sheetViews>
    <sheetView showGridLines="0" zoomScale="80" zoomScaleNormal="80" workbookViewId="0">
      <selection activeCell="C4" sqref="C4"/>
    </sheetView>
  </sheetViews>
  <sheetFormatPr defaultColWidth="9.140625" defaultRowHeight="15" x14ac:dyDescent="0.3"/>
  <cols>
    <col min="1" max="1" width="30.140625" style="271" bestFit="1" customWidth="1"/>
    <col min="2" max="2" width="13.5703125" style="116" bestFit="1" customWidth="1"/>
    <col min="3" max="3" width="14.85546875" style="116" bestFit="1" customWidth="1"/>
    <col min="4" max="16384" width="9.140625" style="116"/>
  </cols>
  <sheetData>
    <row r="1" spans="1:3" ht="15.75" thickBot="1" x14ac:dyDescent="0.35">
      <c r="B1" s="242">
        <v>2021</v>
      </c>
      <c r="C1" s="243">
        <v>2020</v>
      </c>
    </row>
    <row r="2" spans="1:3" x14ac:dyDescent="0.3">
      <c r="A2" s="297" t="s">
        <v>271</v>
      </c>
      <c r="B2" s="245">
        <v>-14896589.449999999</v>
      </c>
      <c r="C2" s="246">
        <v>-8137801.5800000001</v>
      </c>
    </row>
    <row r="3" spans="1:3" ht="15.75" thickBot="1" x14ac:dyDescent="0.35">
      <c r="A3" s="297" t="s">
        <v>270</v>
      </c>
      <c r="B3" s="245">
        <v>-136515.16</v>
      </c>
      <c r="C3" s="246">
        <v>-681403.15</v>
      </c>
    </row>
    <row r="4" spans="1:3" ht="15.75" thickBot="1" x14ac:dyDescent="0.35">
      <c r="B4" s="247">
        <f>SUM(B2:B3)</f>
        <v>-15033104.609999999</v>
      </c>
      <c r="C4" s="247">
        <f>SUM(C2:C3)</f>
        <v>-8819204.7300000004</v>
      </c>
    </row>
    <row r="5" spans="1:3" ht="15.75" thickTop="1" x14ac:dyDescent="0.3"/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448EE-F9DE-411E-B926-47C9F5BF175B}">
  <sheetPr>
    <tabColor rgb="FF00FFFF"/>
  </sheetPr>
  <dimension ref="A1:E13"/>
  <sheetViews>
    <sheetView showGridLines="0" zoomScale="80" zoomScaleNormal="80" workbookViewId="0">
      <pane xSplit="1" ySplit="2" topLeftCell="B3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ColWidth="9.140625" defaultRowHeight="15" x14ac:dyDescent="0.3"/>
  <cols>
    <col min="1" max="1" width="21.5703125" style="271" bestFit="1" customWidth="1"/>
    <col min="2" max="3" width="13.7109375" style="116" bestFit="1" customWidth="1"/>
    <col min="4" max="4" width="13.42578125" style="116" bestFit="1" customWidth="1"/>
    <col min="5" max="5" width="12.28515625" style="116" bestFit="1" customWidth="1"/>
    <col min="6" max="16384" width="9.140625" style="116"/>
  </cols>
  <sheetData>
    <row r="1" spans="1:5" x14ac:dyDescent="0.3">
      <c r="B1" s="256">
        <f>(B12)--35419432.34</f>
        <v>0</v>
      </c>
      <c r="C1" s="256">
        <f>(C12)--19953789.83</f>
        <v>0</v>
      </c>
    </row>
    <row r="2" spans="1:5" ht="15.75" thickBot="1" x14ac:dyDescent="0.35">
      <c r="B2" s="242">
        <v>2021</v>
      </c>
      <c r="C2" s="243">
        <v>2020</v>
      </c>
    </row>
    <row r="3" spans="1:5" x14ac:dyDescent="0.3">
      <c r="A3" s="297" t="s">
        <v>215</v>
      </c>
      <c r="B3" s="245">
        <v>-1385381.38</v>
      </c>
      <c r="C3" s="246">
        <v>-805356.98</v>
      </c>
      <c r="D3" s="256"/>
      <c r="E3" s="256"/>
    </row>
    <row r="4" spans="1:5" x14ac:dyDescent="0.3">
      <c r="A4" s="297" t="s">
        <v>274</v>
      </c>
      <c r="B4" s="245">
        <v>-4565727.330000001</v>
      </c>
      <c r="C4" s="246">
        <v>-2479043.0700000003</v>
      </c>
      <c r="D4" s="256"/>
      <c r="E4" s="256"/>
    </row>
    <row r="5" spans="1:5" x14ac:dyDescent="0.3">
      <c r="A5" s="297" t="s">
        <v>272</v>
      </c>
      <c r="B5" s="245">
        <v>-6008472.9699999997</v>
      </c>
      <c r="C5" s="246">
        <v>-2496780.5599999991</v>
      </c>
      <c r="D5" s="256"/>
      <c r="E5" s="256"/>
    </row>
    <row r="6" spans="1:5" x14ac:dyDescent="0.3">
      <c r="A6" s="297" t="s">
        <v>275</v>
      </c>
      <c r="B6" s="245">
        <v>-1257394.7000000002</v>
      </c>
      <c r="C6" s="246">
        <v>-677843.35</v>
      </c>
      <c r="D6" s="256"/>
      <c r="E6" s="256"/>
    </row>
    <row r="7" spans="1:5" x14ac:dyDescent="0.3">
      <c r="A7" s="297" t="s">
        <v>214</v>
      </c>
      <c r="B7" s="245">
        <v>-1395458.2500000002</v>
      </c>
      <c r="C7" s="246">
        <v>-866547.65</v>
      </c>
      <c r="D7" s="256"/>
      <c r="E7" s="256"/>
    </row>
    <row r="8" spans="1:5" x14ac:dyDescent="0.3">
      <c r="A8" s="297" t="s">
        <v>213</v>
      </c>
      <c r="B8" s="245">
        <v>-4602802.3900000006</v>
      </c>
      <c r="C8" s="246">
        <v>-2749087.4299999997</v>
      </c>
      <c r="D8" s="256"/>
      <c r="E8" s="256"/>
    </row>
    <row r="9" spans="1:5" x14ac:dyDescent="0.3">
      <c r="A9" s="297" t="s">
        <v>216</v>
      </c>
      <c r="B9" s="245">
        <v>0</v>
      </c>
      <c r="C9" s="246">
        <v>-120000</v>
      </c>
      <c r="E9" s="256"/>
    </row>
    <row r="10" spans="1:5" x14ac:dyDescent="0.3">
      <c r="A10" s="297" t="s">
        <v>276</v>
      </c>
      <c r="B10" s="245">
        <v>-1016682.33</v>
      </c>
      <c r="C10" s="246">
        <v>-599527.51000000013</v>
      </c>
      <c r="D10" s="256"/>
      <c r="E10" s="256"/>
    </row>
    <row r="11" spans="1:5" ht="15.75" thickBot="1" x14ac:dyDescent="0.35">
      <c r="A11" s="297" t="s">
        <v>273</v>
      </c>
      <c r="B11" s="245">
        <v>-15187512.99</v>
      </c>
      <c r="C11" s="246">
        <v>-9159603.2799999993</v>
      </c>
      <c r="D11" s="256"/>
      <c r="E11" s="256"/>
    </row>
    <row r="12" spans="1:5" ht="15.75" thickBot="1" x14ac:dyDescent="0.35">
      <c r="B12" s="247">
        <f>SUM(B3:B11)</f>
        <v>-35419432.339999996</v>
      </c>
      <c r="C12" s="247">
        <f>SUM(C3:C11)</f>
        <v>-19953789.829999998</v>
      </c>
    </row>
    <row r="13" spans="1:5" ht="15.75" thickTop="1" x14ac:dyDescent="0.3"/>
  </sheetData>
  <sortState xmlns:xlrd2="http://schemas.microsoft.com/office/spreadsheetml/2017/richdata2" ref="A3:C11">
    <sortCondition ref="A3:A11"/>
  </sortState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41402-0C03-43E1-893B-87572BFBFBE4}">
  <sheetPr>
    <tabColor rgb="FF00FFFF"/>
  </sheetPr>
  <dimension ref="A1:F10"/>
  <sheetViews>
    <sheetView showGridLines="0" zoomScale="80" zoomScaleNormal="80" workbookViewId="0">
      <pane xSplit="1" ySplit="2" topLeftCell="B3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ColWidth="9.140625" defaultRowHeight="15" x14ac:dyDescent="0.3"/>
  <cols>
    <col min="1" max="1" width="29.140625" style="116" bestFit="1" customWidth="1"/>
    <col min="2" max="3" width="13.7109375" style="116" bestFit="1" customWidth="1"/>
    <col min="4" max="4" width="9.140625" style="116"/>
    <col min="5" max="5" width="13.42578125" style="116" bestFit="1" customWidth="1"/>
    <col min="6" max="16384" width="9.140625" style="116"/>
  </cols>
  <sheetData>
    <row r="1" spans="1:6" x14ac:dyDescent="0.3">
      <c r="B1" s="256">
        <f>(B7)--21923952.01</f>
        <v>0</v>
      </c>
      <c r="C1" s="256">
        <f>(C7)--14135467.69</f>
        <v>-224000</v>
      </c>
    </row>
    <row r="2" spans="1:6" ht="15.75" thickBot="1" x14ac:dyDescent="0.35">
      <c r="B2" s="242">
        <v>2021</v>
      </c>
      <c r="C2" s="243">
        <v>2020</v>
      </c>
    </row>
    <row r="3" spans="1:6" x14ac:dyDescent="0.3">
      <c r="A3" s="244" t="s">
        <v>277</v>
      </c>
      <c r="B3" s="245">
        <v>-664177.26</v>
      </c>
      <c r="C3" s="246">
        <v>-585998.46</v>
      </c>
      <c r="E3" s="256">
        <f>ROUND(B3/1000,0)</f>
        <v>-664</v>
      </c>
      <c r="F3" s="256">
        <f t="shared" ref="F3:F5" si="0">ROUND(C3/1000,0)</f>
        <v>-586</v>
      </c>
    </row>
    <row r="4" spans="1:6" x14ac:dyDescent="0.3">
      <c r="A4" s="244" t="s">
        <v>217</v>
      </c>
      <c r="B4" s="245">
        <v>-19551635.93</v>
      </c>
      <c r="C4" s="246">
        <v>-11013823.419999998</v>
      </c>
      <c r="E4" s="256">
        <f t="shared" ref="E4:E6" si="1">ROUND(B4/1000,0)</f>
        <v>-19552</v>
      </c>
      <c r="F4" s="256">
        <f t="shared" si="0"/>
        <v>-11014</v>
      </c>
    </row>
    <row r="5" spans="1:6" x14ac:dyDescent="0.3">
      <c r="A5" s="244" t="s">
        <v>278</v>
      </c>
      <c r="B5" s="245">
        <v>-465458.52999999997</v>
      </c>
      <c r="C5" s="246">
        <v>-2019734.0899999999</v>
      </c>
      <c r="E5" s="256">
        <f t="shared" si="1"/>
        <v>-465</v>
      </c>
      <c r="F5" s="256">
        <f t="shared" si="0"/>
        <v>-2020</v>
      </c>
    </row>
    <row r="6" spans="1:6" ht="15.75" thickBot="1" x14ac:dyDescent="0.35">
      <c r="A6" s="244" t="s">
        <v>279</v>
      </c>
      <c r="B6" s="245">
        <v>-1242680.29</v>
      </c>
      <c r="C6" s="246">
        <f>-515911.72-224000</f>
        <v>-739911.72</v>
      </c>
      <c r="E6" s="256">
        <f t="shared" si="1"/>
        <v>-1243</v>
      </c>
      <c r="F6" s="256">
        <f>ROUND(C6/1000,0)+1</f>
        <v>-739</v>
      </c>
    </row>
    <row r="7" spans="1:6" ht="15.75" thickBot="1" x14ac:dyDescent="0.35">
      <c r="B7" s="247">
        <f>SUM(B3:B6)</f>
        <v>-21923952.010000002</v>
      </c>
      <c r="C7" s="247">
        <f>SUM(C3:C6)</f>
        <v>-14359467.689999999</v>
      </c>
      <c r="E7" s="256">
        <f>SUM(E3:E6)</f>
        <v>-21924</v>
      </c>
      <c r="F7" s="256">
        <f>SUM(F3:F6)</f>
        <v>-14359</v>
      </c>
    </row>
    <row r="8" spans="1:6" ht="15.75" thickTop="1" x14ac:dyDescent="0.3">
      <c r="C8" s="313"/>
    </row>
    <row r="10" spans="1:6" x14ac:dyDescent="0.3">
      <c r="C10" s="314"/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9A82-879C-471D-95F3-43A17C227768}">
  <sheetPr>
    <tabColor rgb="FF00FFFF"/>
  </sheetPr>
  <dimension ref="A1:C14"/>
  <sheetViews>
    <sheetView showGridLines="0" zoomScale="80" zoomScaleNormal="80" workbookViewId="0">
      <selection activeCell="C4" sqref="C4"/>
    </sheetView>
  </sheetViews>
  <sheetFormatPr defaultColWidth="9.140625" defaultRowHeight="15" x14ac:dyDescent="0.3"/>
  <cols>
    <col min="1" max="1" width="28.7109375" style="116" customWidth="1"/>
    <col min="2" max="2" width="13.5703125" style="116" bestFit="1" customWidth="1"/>
    <col min="3" max="3" width="14.85546875" style="116" bestFit="1" customWidth="1"/>
    <col min="4" max="16384" width="9.140625" style="116"/>
  </cols>
  <sheetData>
    <row r="1" spans="1:3" ht="15.75" thickBot="1" x14ac:dyDescent="0.35">
      <c r="B1" s="242">
        <v>2021</v>
      </c>
      <c r="C1" s="243">
        <v>2020</v>
      </c>
    </row>
    <row r="2" spans="1:3" x14ac:dyDescent="0.3">
      <c r="A2" s="244" t="s">
        <v>189</v>
      </c>
      <c r="B2" s="245">
        <v>-5503.25</v>
      </c>
      <c r="C2" s="246">
        <v>-2909.05</v>
      </c>
    </row>
    <row r="3" spans="1:3" x14ac:dyDescent="0.3">
      <c r="A3" s="244" t="s">
        <v>218</v>
      </c>
      <c r="B3" s="245">
        <v>-58738.450000000004</v>
      </c>
      <c r="C3" s="246">
        <v>-1555.61</v>
      </c>
    </row>
    <row r="4" spans="1:3" ht="15.75" thickBot="1" x14ac:dyDescent="0.35">
      <c r="A4" s="244" t="s">
        <v>280</v>
      </c>
      <c r="B4" s="245">
        <v>-93.53</v>
      </c>
      <c r="C4" s="246">
        <v>-76250.28</v>
      </c>
    </row>
    <row r="5" spans="1:3" ht="15.75" thickBot="1" x14ac:dyDescent="0.35">
      <c r="B5" s="247">
        <f>SUM(B2:B4)</f>
        <v>-64335.23</v>
      </c>
      <c r="C5" s="247">
        <f>SUM(C2:C4)</f>
        <v>-80714.94</v>
      </c>
    </row>
    <row r="6" spans="1:3" ht="15.75" thickTop="1" x14ac:dyDescent="0.3"/>
    <row r="7" spans="1:3" ht="15.75" thickBot="1" x14ac:dyDescent="0.35">
      <c r="B7" s="242">
        <v>2021</v>
      </c>
      <c r="C7" s="243">
        <v>2020</v>
      </c>
    </row>
    <row r="8" spans="1:3" x14ac:dyDescent="0.3">
      <c r="A8" s="244" t="s">
        <v>219</v>
      </c>
      <c r="B8" s="245">
        <v>312758.53999999998</v>
      </c>
      <c r="C8" s="246">
        <v>248215.9</v>
      </c>
    </row>
    <row r="9" spans="1:3" x14ac:dyDescent="0.3">
      <c r="A9" s="244" t="s">
        <v>281</v>
      </c>
      <c r="B9" s="245">
        <v>0</v>
      </c>
      <c r="C9" s="246">
        <v>2151.29</v>
      </c>
    </row>
    <row r="10" spans="1:3" ht="15.75" thickBot="1" x14ac:dyDescent="0.35">
      <c r="A10" s="244" t="s">
        <v>220</v>
      </c>
      <c r="B10" s="245">
        <v>7658.52</v>
      </c>
      <c r="C10" s="246">
        <v>232014.86</v>
      </c>
    </row>
    <row r="11" spans="1:3" ht="15.75" thickBot="1" x14ac:dyDescent="0.35">
      <c r="B11" s="247">
        <f>SUM(B8:B10)</f>
        <v>320417.06</v>
      </c>
      <c r="C11" s="247">
        <f>SUM(C8:C10)</f>
        <v>482382.05</v>
      </c>
    </row>
    <row r="12" spans="1:3" ht="15.75" thickTop="1" x14ac:dyDescent="0.3"/>
    <row r="13" spans="1:3" x14ac:dyDescent="0.3">
      <c r="B13" s="245"/>
    </row>
    <row r="14" spans="1:3" x14ac:dyDescent="0.3">
      <c r="B14" s="256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B8BA-7C3A-44E4-8F3A-B5A4A16B6EE4}">
  <sheetPr>
    <tabColor theme="9" tint="-0.249977111117893"/>
    <pageSetUpPr fitToPage="1"/>
  </sheetPr>
  <dimension ref="A1:G39"/>
  <sheetViews>
    <sheetView showGridLines="0" view="pageBreakPreview" zoomScale="80" zoomScaleNormal="80" zoomScaleSheetLayoutView="80" workbookViewId="0">
      <selection activeCell="F4" sqref="F1:G1048576"/>
    </sheetView>
  </sheetViews>
  <sheetFormatPr defaultColWidth="9.140625" defaultRowHeight="16.5" outlineLevelCol="1" x14ac:dyDescent="0.3"/>
  <cols>
    <col min="1" max="1" width="83.140625" style="119" bestFit="1" customWidth="1"/>
    <col min="2" max="2" width="13" style="119" customWidth="1"/>
    <col min="3" max="4" width="15.7109375" style="119" customWidth="1"/>
    <col min="5" max="5" width="15.7109375" style="119" hidden="1" customWidth="1" outlineLevel="1"/>
    <col min="6" max="6" width="10.85546875" style="119" hidden="1" customWidth="1" collapsed="1"/>
    <col min="7" max="7" width="12.42578125" style="119" hidden="1" customWidth="1"/>
    <col min="8" max="8" width="11.7109375" style="119" bestFit="1" customWidth="1"/>
    <col min="9" max="9" width="16.140625" style="119" bestFit="1" customWidth="1"/>
    <col min="10" max="10" width="12" style="119" bestFit="1" customWidth="1"/>
    <col min="11" max="11" width="9.85546875" style="119" bestFit="1" customWidth="1"/>
    <col min="12" max="12" width="9" style="119" bestFit="1" customWidth="1"/>
    <col min="13" max="13" width="12" style="119" bestFit="1" customWidth="1"/>
    <col min="14" max="14" width="7.7109375" style="119" bestFit="1" customWidth="1"/>
    <col min="15" max="15" width="13.85546875" style="119" bestFit="1" customWidth="1"/>
    <col min="16" max="16" width="15.140625" style="119" bestFit="1" customWidth="1"/>
    <col min="17" max="16384" width="9.140625" style="119"/>
  </cols>
  <sheetData>
    <row r="1" spans="1:7" x14ac:dyDescent="0.3">
      <c r="A1" s="117" t="str">
        <f>Ativo!A1</f>
        <v>PROVU SERVICOS DE ADMINISTRACAO E CORRESPONDENTE BANCARIO S.A.</v>
      </c>
      <c r="B1" s="195"/>
      <c r="C1" s="117"/>
      <c r="D1" s="117"/>
      <c r="E1" s="117"/>
    </row>
    <row r="2" spans="1:7" x14ac:dyDescent="0.3">
      <c r="A2" s="117" t="s">
        <v>283</v>
      </c>
      <c r="B2" s="195"/>
      <c r="C2" s="117"/>
      <c r="D2" s="117"/>
      <c r="E2" s="117"/>
    </row>
    <row r="3" spans="1:7" x14ac:dyDescent="0.3">
      <c r="A3" s="117" t="str">
        <f>Ativo!A3</f>
        <v>CNPJ: 20.265.259/0001-71</v>
      </c>
      <c r="B3" s="195"/>
      <c r="C3" s="195"/>
      <c r="D3" s="195"/>
      <c r="E3" s="195"/>
    </row>
    <row r="4" spans="1:7" s="136" customFormat="1" x14ac:dyDescent="0.2">
      <c r="A4" s="117" t="s">
        <v>127</v>
      </c>
      <c r="B4" s="120"/>
      <c r="C4" s="118"/>
      <c r="D4" s="118"/>
      <c r="E4" s="118"/>
    </row>
    <row r="5" spans="1:7" s="136" customFormat="1" x14ac:dyDescent="0.2">
      <c r="A5" s="117" t="s">
        <v>290</v>
      </c>
      <c r="B5" s="215"/>
      <c r="C5" s="216"/>
      <c r="D5" s="216"/>
      <c r="E5" s="216"/>
    </row>
    <row r="6" spans="1:7" ht="33" x14ac:dyDescent="0.3">
      <c r="A6" s="217" t="s">
        <v>327</v>
      </c>
      <c r="B6" s="319" t="s">
        <v>323</v>
      </c>
      <c r="C6" s="197" t="str">
        <f>Ativo!C6</f>
        <v>2021</v>
      </c>
      <c r="D6" s="197" t="str">
        <f>Ativo!D6</f>
        <v>2020</v>
      </c>
      <c r="E6" s="163">
        <f>Ativo!E6</f>
        <v>43830</v>
      </c>
    </row>
    <row r="7" spans="1:7" x14ac:dyDescent="0.3">
      <c r="A7" s="218" t="s">
        <v>92</v>
      </c>
      <c r="B7" s="249"/>
      <c r="C7" s="202">
        <f>SUM(C8:C16)</f>
        <v>15962.970729999999</v>
      </c>
      <c r="D7" s="202">
        <f>SUM(D8:D16)</f>
        <v>7568.6741899999997</v>
      </c>
      <c r="E7" s="202">
        <f t="shared" ref="E7" si="0">SUM(E8:E16)</f>
        <v>3772.5094300000001</v>
      </c>
    </row>
    <row r="8" spans="1:7" hidden="1" x14ac:dyDescent="0.3">
      <c r="A8" s="204"/>
      <c r="B8" s="249"/>
      <c r="C8" s="204"/>
      <c r="D8" s="204"/>
      <c r="E8" s="204"/>
    </row>
    <row r="9" spans="1:7" x14ac:dyDescent="0.3">
      <c r="A9" s="219" t="s">
        <v>265</v>
      </c>
      <c r="B9" s="249">
        <v>11</v>
      </c>
      <c r="C9" s="204">
        <v>2965.51091</v>
      </c>
      <c r="D9" s="204">
        <v>1337.81232</v>
      </c>
      <c r="E9" s="204">
        <v>1314.8145500000001</v>
      </c>
      <c r="F9" s="305">
        <f>ROUND(C9,0)</f>
        <v>2966</v>
      </c>
      <c r="G9" s="305">
        <f>ROUND(D9,0)</f>
        <v>1338</v>
      </c>
    </row>
    <row r="10" spans="1:7" x14ac:dyDescent="0.3">
      <c r="A10" s="219" t="s">
        <v>142</v>
      </c>
      <c r="B10" s="249">
        <v>12</v>
      </c>
      <c r="C10" s="204">
        <v>4068.9531099999999</v>
      </c>
      <c r="D10" s="204">
        <v>2024</v>
      </c>
      <c r="E10" s="204">
        <v>1309.91777</v>
      </c>
      <c r="F10" s="305">
        <f t="shared" ref="F10:F15" si="1">ROUND(C10,0)</f>
        <v>4069</v>
      </c>
      <c r="G10" s="305">
        <f t="shared" ref="G10:G15" si="2">ROUND(D10,0)</f>
        <v>2024</v>
      </c>
    </row>
    <row r="11" spans="1:7" x14ac:dyDescent="0.3">
      <c r="A11" s="219" t="s">
        <v>143</v>
      </c>
      <c r="B11" s="249">
        <v>11</v>
      </c>
      <c r="C11" s="204">
        <v>8599.2145099999998</v>
      </c>
      <c r="D11" s="204">
        <v>4052.96578</v>
      </c>
      <c r="E11" s="204">
        <v>990.89180999999996</v>
      </c>
      <c r="F11" s="305">
        <f t="shared" si="1"/>
        <v>8599</v>
      </c>
      <c r="G11" s="305">
        <f t="shared" si="2"/>
        <v>4053</v>
      </c>
    </row>
    <row r="12" spans="1:7" x14ac:dyDescent="0.3">
      <c r="A12" s="219" t="s">
        <v>297</v>
      </c>
      <c r="B12" s="249">
        <v>13</v>
      </c>
      <c r="C12" s="204">
        <v>313.29219999999998</v>
      </c>
      <c r="D12" s="204">
        <v>153.89608999999999</v>
      </c>
      <c r="E12" s="204">
        <v>156.8853</v>
      </c>
      <c r="F12" s="305">
        <f t="shared" si="1"/>
        <v>313</v>
      </c>
      <c r="G12" s="305">
        <f t="shared" si="2"/>
        <v>154</v>
      </c>
    </row>
    <row r="13" spans="1:7" hidden="1" x14ac:dyDescent="0.3">
      <c r="A13" s="219" t="s">
        <v>144</v>
      </c>
      <c r="B13" s="249"/>
      <c r="C13" s="204">
        <v>0</v>
      </c>
      <c r="D13" s="204">
        <v>0</v>
      </c>
      <c r="E13" s="204"/>
      <c r="F13" s="305">
        <f t="shared" si="1"/>
        <v>0</v>
      </c>
      <c r="G13" s="305">
        <f t="shared" si="2"/>
        <v>0</v>
      </c>
    </row>
    <row r="14" spans="1:7" hidden="1" x14ac:dyDescent="0.3">
      <c r="A14" s="219" t="s">
        <v>145</v>
      </c>
      <c r="B14" s="249"/>
      <c r="C14" s="204">
        <v>0</v>
      </c>
      <c r="D14" s="204">
        <v>0</v>
      </c>
      <c r="E14" s="204"/>
      <c r="F14" s="305">
        <f t="shared" si="1"/>
        <v>0</v>
      </c>
      <c r="G14" s="305">
        <f t="shared" si="2"/>
        <v>0</v>
      </c>
    </row>
    <row r="15" spans="1:7" x14ac:dyDescent="0.3">
      <c r="A15" s="219" t="s">
        <v>298</v>
      </c>
      <c r="B15" s="249"/>
      <c r="C15" s="204">
        <v>16</v>
      </c>
      <c r="D15" s="204">
        <v>0</v>
      </c>
      <c r="E15" s="204"/>
      <c r="F15" s="305">
        <f t="shared" si="1"/>
        <v>16</v>
      </c>
      <c r="G15" s="305">
        <f t="shared" si="2"/>
        <v>0</v>
      </c>
    </row>
    <row r="16" spans="1:7" hidden="1" x14ac:dyDescent="0.3">
      <c r="A16" s="204"/>
      <c r="B16" s="249"/>
      <c r="C16" s="220"/>
      <c r="D16" s="204"/>
      <c r="E16" s="204"/>
    </row>
    <row r="17" spans="1:7" x14ac:dyDescent="0.3">
      <c r="A17" s="218" t="s">
        <v>93</v>
      </c>
      <c r="B17" s="249"/>
      <c r="C17" s="202">
        <f>SUM(C18:C21)</f>
        <v>5</v>
      </c>
      <c r="D17" s="202">
        <f>SUM(D18:D21)</f>
        <v>185.81336999999999</v>
      </c>
      <c r="E17" s="202">
        <f t="shared" ref="E17" si="3">SUM(E18:E21)</f>
        <v>22.005389999999998</v>
      </c>
    </row>
    <row r="18" spans="1:7" hidden="1" x14ac:dyDescent="0.3">
      <c r="A18" s="221"/>
      <c r="B18" s="249"/>
      <c r="C18" s="222"/>
      <c r="D18" s="222"/>
      <c r="E18" s="222"/>
      <c r="G18" s="305"/>
    </row>
    <row r="19" spans="1:7" x14ac:dyDescent="0.3">
      <c r="A19" s="219" t="s">
        <v>223</v>
      </c>
      <c r="B19" s="249"/>
      <c r="C19" s="204">
        <v>5</v>
      </c>
      <c r="D19" s="204">
        <v>176.81336999999999</v>
      </c>
      <c r="E19" s="204">
        <v>11</v>
      </c>
      <c r="F19" s="305">
        <f t="shared" ref="F19:G20" si="4">ROUND(C19,0)</f>
        <v>5</v>
      </c>
      <c r="G19" s="305">
        <f t="shared" si="4"/>
        <v>177</v>
      </c>
    </row>
    <row r="20" spans="1:7" x14ac:dyDescent="0.3">
      <c r="A20" s="219" t="s">
        <v>299</v>
      </c>
      <c r="B20" s="249"/>
      <c r="C20" s="204">
        <v>0</v>
      </c>
      <c r="D20" s="204">
        <v>9</v>
      </c>
      <c r="E20" s="204">
        <v>11.00539</v>
      </c>
      <c r="F20" s="305">
        <f t="shared" si="4"/>
        <v>0</v>
      </c>
      <c r="G20" s="305">
        <f t="shared" si="4"/>
        <v>9</v>
      </c>
    </row>
    <row r="21" spans="1:7" hidden="1" x14ac:dyDescent="0.3">
      <c r="A21" s="219" t="s">
        <v>146</v>
      </c>
      <c r="B21" s="249"/>
      <c r="C21" s="204"/>
      <c r="D21" s="204"/>
      <c r="E21" s="204"/>
    </row>
    <row r="22" spans="1:7" hidden="1" x14ac:dyDescent="0.3">
      <c r="A22" s="204"/>
      <c r="B22" s="249"/>
      <c r="C22" s="220"/>
      <c r="D22" s="204"/>
      <c r="E22" s="204"/>
    </row>
    <row r="23" spans="1:7" x14ac:dyDescent="0.3">
      <c r="A23" s="218" t="s">
        <v>94</v>
      </c>
      <c r="B23" s="249"/>
      <c r="C23" s="202">
        <f>SUM(C24:C30)</f>
        <v>1108.5970399999933</v>
      </c>
      <c r="D23" s="202">
        <f>SUM(D24:D30)</f>
        <v>11953.581389999992</v>
      </c>
      <c r="E23" s="202">
        <f>SUM(E24:E30)</f>
        <v>545.66975000000093</v>
      </c>
    </row>
    <row r="24" spans="1:7" hidden="1" x14ac:dyDescent="0.3">
      <c r="A24" s="204"/>
      <c r="B24" s="249"/>
      <c r="C24" s="204"/>
      <c r="D24" s="204"/>
      <c r="E24" s="204"/>
    </row>
    <row r="25" spans="1:7" x14ac:dyDescent="0.3">
      <c r="A25" s="219" t="s">
        <v>147</v>
      </c>
      <c r="B25" s="249">
        <v>14</v>
      </c>
      <c r="C25" s="204">
        <v>140375.576</v>
      </c>
      <c r="D25" s="204">
        <v>82163</v>
      </c>
      <c r="E25" s="204">
        <v>33567.675999999999</v>
      </c>
      <c r="F25" s="305">
        <f t="shared" ref="F25:G30" si="5">ROUND(C25,0)</f>
        <v>140376</v>
      </c>
      <c r="G25" s="305">
        <f t="shared" si="5"/>
        <v>82163</v>
      </c>
    </row>
    <row r="26" spans="1:7" x14ac:dyDescent="0.3">
      <c r="A26" s="219" t="s">
        <v>148</v>
      </c>
      <c r="B26" s="249"/>
      <c r="C26" s="204">
        <v>26510.62615</v>
      </c>
      <c r="D26" s="204">
        <v>26510.62615</v>
      </c>
      <c r="E26" s="204">
        <v>26760.62615</v>
      </c>
      <c r="F26" s="305">
        <f t="shared" si="5"/>
        <v>26511</v>
      </c>
      <c r="G26" s="305">
        <f t="shared" si="5"/>
        <v>26511</v>
      </c>
    </row>
    <row r="27" spans="1:7" hidden="1" x14ac:dyDescent="0.3">
      <c r="A27" s="219" t="s">
        <v>149</v>
      </c>
      <c r="B27" s="249"/>
      <c r="C27" s="204">
        <v>0</v>
      </c>
      <c r="D27" s="204">
        <v>0</v>
      </c>
      <c r="E27" s="204"/>
      <c r="F27" s="305">
        <f t="shared" si="5"/>
        <v>0</v>
      </c>
      <c r="G27" s="305">
        <f t="shared" si="5"/>
        <v>0</v>
      </c>
    </row>
    <row r="28" spans="1:7" hidden="1" x14ac:dyDescent="0.3">
      <c r="A28" s="219" t="s">
        <v>150</v>
      </c>
      <c r="B28" s="249"/>
      <c r="C28" s="204">
        <v>0</v>
      </c>
      <c r="D28" s="204"/>
      <c r="E28" s="204">
        <v>-31306.153050000001</v>
      </c>
      <c r="F28" s="305">
        <f t="shared" si="5"/>
        <v>0</v>
      </c>
      <c r="G28" s="305">
        <f t="shared" si="5"/>
        <v>0</v>
      </c>
    </row>
    <row r="29" spans="1:7" hidden="1" x14ac:dyDescent="0.3">
      <c r="A29" s="219" t="s">
        <v>151</v>
      </c>
      <c r="B29" s="249"/>
      <c r="C29" s="204">
        <v>0</v>
      </c>
      <c r="D29" s="204">
        <v>0</v>
      </c>
      <c r="E29" s="204">
        <v>0</v>
      </c>
      <c r="F29" s="305">
        <f t="shared" si="5"/>
        <v>0</v>
      </c>
      <c r="G29" s="305">
        <f t="shared" si="5"/>
        <v>0</v>
      </c>
    </row>
    <row r="30" spans="1:7" x14ac:dyDescent="0.3">
      <c r="A30" s="219" t="s">
        <v>326</v>
      </c>
      <c r="B30" s="249"/>
      <c r="C30" s="204">
        <f>-96720.04476-69057.56035</f>
        <v>-165777.60511</v>
      </c>
      <c r="D30" s="204">
        <f>-59782.6324-36937.41236</f>
        <v>-96720.044760000004</v>
      </c>
      <c r="E30" s="204">
        <v>-28476.479350000001</v>
      </c>
      <c r="F30" s="305">
        <f t="shared" si="5"/>
        <v>-165778</v>
      </c>
      <c r="G30" s="305">
        <f t="shared" si="5"/>
        <v>-96720</v>
      </c>
    </row>
    <row r="31" spans="1:7" s="136" customFormat="1" x14ac:dyDescent="0.2">
      <c r="A31" s="208" t="s">
        <v>20</v>
      </c>
      <c r="B31" s="248"/>
      <c r="C31" s="208">
        <f>SUM(C7,C17,C23)</f>
        <v>17076.567769999994</v>
      </c>
      <c r="D31" s="208">
        <f>SUM(D7,D17,D23)+1</f>
        <v>19709.068949999993</v>
      </c>
      <c r="E31" s="208">
        <f t="shared" ref="E31" si="6">SUM(E7,E17,E23)</f>
        <v>4340.1845700000013</v>
      </c>
    </row>
    <row r="32" spans="1:7" hidden="1" x14ac:dyDescent="0.3">
      <c r="A32" s="223"/>
      <c r="B32" s="156"/>
      <c r="C32" s="224" t="s">
        <v>134</v>
      </c>
      <c r="D32" s="224" t="s">
        <v>134</v>
      </c>
      <c r="E32" s="224" t="s">
        <v>134</v>
      </c>
    </row>
    <row r="33" spans="1:5" x14ac:dyDescent="0.3">
      <c r="A33" s="307" t="s">
        <v>129</v>
      </c>
      <c r="B33" s="201"/>
      <c r="C33" s="226"/>
      <c r="D33" s="223"/>
      <c r="E33" s="201"/>
    </row>
    <row r="34" spans="1:5" x14ac:dyDescent="0.3">
      <c r="A34" s="156"/>
      <c r="B34" s="156"/>
      <c r="C34" s="227"/>
      <c r="D34" s="227"/>
      <c r="E34" s="227"/>
    </row>
    <row r="39" spans="1:5" x14ac:dyDescent="0.3">
      <c r="A39" s="150"/>
      <c r="B39" s="150"/>
      <c r="C39" s="150"/>
      <c r="D39" s="150"/>
      <c r="E39" s="150"/>
    </row>
  </sheetData>
  <pageMargins left="1" right="1" top="1" bottom="1" header="0.5" footer="0.5"/>
  <pageSetup paperSize="9" scale="6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  <pageSetUpPr fitToPage="1"/>
  </sheetPr>
  <dimension ref="A1:M51"/>
  <sheetViews>
    <sheetView showGridLines="0" view="pageBreakPreview" topLeftCell="A16" zoomScale="80" zoomScaleNormal="80" zoomScaleSheetLayoutView="80" workbookViewId="0">
      <selection activeCell="A29" sqref="A29:XFD29"/>
    </sheetView>
  </sheetViews>
  <sheetFormatPr defaultColWidth="9.140625" defaultRowHeight="16.5" outlineLevelRow="1" outlineLevelCol="1" x14ac:dyDescent="0.3"/>
  <cols>
    <col min="1" max="1" width="45.140625" style="119" bestFit="1" customWidth="1"/>
    <col min="2" max="2" width="15" style="119" customWidth="1"/>
    <col min="3" max="4" width="21.28515625" style="119" bestFit="1" customWidth="1"/>
    <col min="5" max="5" width="14.7109375" style="119" hidden="1" customWidth="1" outlineLevel="1"/>
    <col min="6" max="6" width="0" style="119" hidden="1" customWidth="1" collapsed="1"/>
    <col min="7" max="13" width="0" style="119" hidden="1" customWidth="1"/>
    <col min="14" max="16384" width="9.140625" style="119"/>
  </cols>
  <sheetData>
    <row r="1" spans="1:12" x14ac:dyDescent="0.3">
      <c r="A1" s="117" t="str">
        <f>Ativo!A1</f>
        <v>PROVU SERVICOS DE ADMINISTRACAO E CORRESPONDENTE BANCARIO S.A.</v>
      </c>
      <c r="B1" s="117"/>
      <c r="C1" s="117"/>
      <c r="D1" s="117"/>
      <c r="E1" s="117"/>
    </row>
    <row r="2" spans="1:12" x14ac:dyDescent="0.3">
      <c r="A2" s="117" t="s">
        <v>283</v>
      </c>
      <c r="B2" s="117"/>
      <c r="C2" s="117"/>
      <c r="D2" s="117"/>
      <c r="E2" s="117"/>
    </row>
    <row r="3" spans="1:12" x14ac:dyDescent="0.3">
      <c r="A3" s="117" t="str">
        <f>Ativo!A3</f>
        <v>CNPJ: 20.265.259/0001-71</v>
      </c>
      <c r="B3" s="195"/>
      <c r="C3" s="195"/>
      <c r="D3" s="195"/>
      <c r="E3" s="195"/>
    </row>
    <row r="4" spans="1:12" x14ac:dyDescent="0.3">
      <c r="A4" s="117" t="s">
        <v>321</v>
      </c>
      <c r="B4" s="117"/>
      <c r="C4" s="117"/>
      <c r="D4" s="117"/>
      <c r="E4" s="117"/>
    </row>
    <row r="5" spans="1:12" x14ac:dyDescent="0.3">
      <c r="A5" s="117" t="s">
        <v>322</v>
      </c>
      <c r="B5" s="196"/>
      <c r="C5" s="161"/>
      <c r="D5" s="161"/>
      <c r="E5" s="161"/>
    </row>
    <row r="6" spans="1:12" ht="33" x14ac:dyDescent="0.3">
      <c r="A6" s="163"/>
      <c r="B6" s="319" t="s">
        <v>323</v>
      </c>
      <c r="C6" s="197" t="str">
        <f>Ativo!C6</f>
        <v>2021</v>
      </c>
      <c r="D6" s="197" t="str">
        <f>Ativo!D6</f>
        <v>2020</v>
      </c>
      <c r="E6" s="163">
        <f>Ativo!E6</f>
        <v>43830</v>
      </c>
    </row>
    <row r="7" spans="1:12" hidden="1" outlineLevel="1" x14ac:dyDescent="0.3">
      <c r="A7" s="198"/>
      <c r="B7" s="198"/>
      <c r="C7" s="199"/>
      <c r="D7" s="199"/>
      <c r="E7" s="199"/>
    </row>
    <row r="8" spans="1:12" hidden="1" outlineLevel="1" x14ac:dyDescent="0.3">
      <c r="A8" s="200" t="s">
        <v>152</v>
      </c>
      <c r="B8" s="201"/>
      <c r="C8" s="202">
        <f>SUM(C9)</f>
        <v>16014.892169999999</v>
      </c>
      <c r="D8" s="202">
        <f>SUM(D9)</f>
        <v>12774.39086</v>
      </c>
      <c r="E8" s="202">
        <f t="shared" ref="E8" si="0">SUM(E9)</f>
        <v>13113212.710000001</v>
      </c>
    </row>
    <row r="9" spans="1:12" hidden="1" outlineLevel="1" x14ac:dyDescent="0.3">
      <c r="A9" s="203" t="s">
        <v>153</v>
      </c>
      <c r="B9" s="201"/>
      <c r="C9" s="204">
        <v>16014.892169999999</v>
      </c>
      <c r="D9" s="204">
        <v>12774.39086</v>
      </c>
      <c r="E9" s="204">
        <v>13113212.710000001</v>
      </c>
    </row>
    <row r="10" spans="1:12" hidden="1" outlineLevel="1" x14ac:dyDescent="0.3">
      <c r="A10" s="203" t="s">
        <v>154</v>
      </c>
      <c r="B10" s="201"/>
      <c r="C10" s="204">
        <v>-2209.06754</v>
      </c>
      <c r="D10" s="204">
        <v>-1776.7734599999999</v>
      </c>
      <c r="E10" s="204">
        <v>-1868645.11</v>
      </c>
    </row>
    <row r="11" spans="1:12" hidden="1" collapsed="1" x14ac:dyDescent="0.3">
      <c r="A11" s="203"/>
      <c r="B11" s="205"/>
      <c r="C11" s="204"/>
      <c r="D11" s="204"/>
      <c r="E11" s="204"/>
    </row>
    <row r="12" spans="1:12" x14ac:dyDescent="0.3">
      <c r="A12" s="200" t="s">
        <v>301</v>
      </c>
      <c r="B12" s="201">
        <v>15</v>
      </c>
      <c r="C12" s="202">
        <f>SUM(C9:C10)</f>
        <v>13805.824629999999</v>
      </c>
      <c r="D12" s="202">
        <f>SUM(D9:D10)-1</f>
        <v>10996.617399999999</v>
      </c>
      <c r="E12" s="202">
        <f t="shared" ref="E12" si="1">SUM(E9:E10)</f>
        <v>11244567.600000001</v>
      </c>
      <c r="F12" s="305">
        <f>ROUND(C12,0)</f>
        <v>13806</v>
      </c>
      <c r="K12" s="119">
        <v>12774</v>
      </c>
      <c r="L12" s="119">
        <v>10997</v>
      </c>
    </row>
    <row r="13" spans="1:12" hidden="1" x14ac:dyDescent="0.3">
      <c r="A13" s="203"/>
      <c r="B13" s="201"/>
      <c r="C13" s="204"/>
      <c r="D13" s="204"/>
      <c r="E13" s="204"/>
      <c r="K13" s="119">
        <v>-1777</v>
      </c>
      <c r="L13" s="119">
        <v>-4537</v>
      </c>
    </row>
    <row r="14" spans="1:12" x14ac:dyDescent="0.3">
      <c r="A14" s="200" t="s">
        <v>300</v>
      </c>
      <c r="B14" s="201"/>
      <c r="C14" s="202">
        <f>SUM(C15:C16)</f>
        <v>-9095.2460699999992</v>
      </c>
      <c r="D14" s="202">
        <f t="shared" ref="D14:E14" si="2">SUM(D15:D16)</f>
        <v>-4536.5090499999997</v>
      </c>
      <c r="E14" s="202">
        <f t="shared" si="2"/>
        <v>-4172445.98</v>
      </c>
      <c r="K14" s="119">
        <f>SUM(K12:K13)</f>
        <v>10997</v>
      </c>
      <c r="L14" s="119">
        <f>SUM(L12:L13)</f>
        <v>6460</v>
      </c>
    </row>
    <row r="15" spans="1:12" hidden="1" x14ac:dyDescent="0.3">
      <c r="A15" s="203" t="s">
        <v>155</v>
      </c>
      <c r="B15" s="201"/>
      <c r="C15" s="204">
        <v>0</v>
      </c>
      <c r="D15" s="204">
        <v>0</v>
      </c>
      <c r="E15" s="204">
        <v>0</v>
      </c>
      <c r="F15" s="305">
        <f t="shared" ref="F15:F16" si="3">ROUND(C15,0)</f>
        <v>0</v>
      </c>
    </row>
    <row r="16" spans="1:12" x14ac:dyDescent="0.3">
      <c r="A16" s="203" t="s">
        <v>156</v>
      </c>
      <c r="B16" s="201">
        <v>16</v>
      </c>
      <c r="C16" s="204">
        <v>-9095.2460699999992</v>
      </c>
      <c r="D16" s="204">
        <v>-4536.5090499999997</v>
      </c>
      <c r="E16" s="204">
        <v>-4172445.98</v>
      </c>
      <c r="F16" s="305">
        <f t="shared" si="3"/>
        <v>-9095</v>
      </c>
    </row>
    <row r="17" spans="1:12" hidden="1" x14ac:dyDescent="0.3">
      <c r="A17" s="203"/>
      <c r="B17" s="201"/>
      <c r="C17" s="204"/>
      <c r="D17" s="204"/>
      <c r="E17" s="204"/>
    </row>
    <row r="18" spans="1:12" x14ac:dyDescent="0.3">
      <c r="A18" s="200" t="s">
        <v>157</v>
      </c>
      <c r="B18" s="201"/>
      <c r="C18" s="202">
        <f>SUM(C12,C14)</f>
        <v>4710.5785599999999</v>
      </c>
      <c r="D18" s="202">
        <f t="shared" ref="D18:E18" si="4">SUM(D12,D14)</f>
        <v>6460.1083499999995</v>
      </c>
      <c r="E18" s="202">
        <f t="shared" si="4"/>
        <v>7072121.620000001</v>
      </c>
    </row>
    <row r="19" spans="1:12" hidden="1" x14ac:dyDescent="0.3">
      <c r="A19" s="203"/>
      <c r="B19" s="201"/>
      <c r="C19" s="204"/>
      <c r="D19" s="204"/>
      <c r="E19" s="204"/>
      <c r="K19" s="119">
        <v>-8819</v>
      </c>
      <c r="L19" s="119">
        <v>6460</v>
      </c>
    </row>
    <row r="20" spans="1:12" x14ac:dyDescent="0.3">
      <c r="A20" s="200" t="s">
        <v>158</v>
      </c>
      <c r="B20" s="201"/>
      <c r="C20" s="202">
        <f>SUM(C21:C28)</f>
        <v>-74024.22073999999</v>
      </c>
      <c r="D20" s="202">
        <f>SUM(D21:D28)</f>
        <v>-43800.187819999999</v>
      </c>
      <c r="E20" s="202">
        <f t="shared" ref="E20" si="5">SUM(E21:E26)</f>
        <v>-35992853.060000002</v>
      </c>
      <c r="K20" s="119">
        <v>-19954</v>
      </c>
      <c r="L20" s="119">
        <v>-43455</v>
      </c>
    </row>
    <row r="21" spans="1:12" x14ac:dyDescent="0.3">
      <c r="A21" s="203" t="s">
        <v>328</v>
      </c>
      <c r="B21" s="201">
        <v>17</v>
      </c>
      <c r="C21" s="204">
        <v>-15033.10461</v>
      </c>
      <c r="D21" s="204">
        <v>-8819.2047299999995</v>
      </c>
      <c r="E21" s="204">
        <v>-9786743.3900000006</v>
      </c>
      <c r="F21" s="305">
        <f t="shared" ref="F21:F25" si="6">ROUND(C21,0)</f>
        <v>-15033</v>
      </c>
      <c r="K21" s="119">
        <v>-14135</v>
      </c>
      <c r="L21" s="119">
        <f>SUM(L19:L20)</f>
        <v>-36995</v>
      </c>
    </row>
    <row r="22" spans="1:12" x14ac:dyDescent="0.3">
      <c r="A22" s="203" t="s">
        <v>159</v>
      </c>
      <c r="B22" s="201">
        <v>18</v>
      </c>
      <c r="C22" s="204">
        <v>-35419.432339999999</v>
      </c>
      <c r="D22" s="204">
        <v>-19953.789830000002</v>
      </c>
      <c r="E22" s="204">
        <v>-19337925.470000006</v>
      </c>
      <c r="F22" s="305">
        <f t="shared" si="6"/>
        <v>-35419</v>
      </c>
      <c r="K22" s="119">
        <v>-273</v>
      </c>
    </row>
    <row r="23" spans="1:12" x14ac:dyDescent="0.3">
      <c r="A23" s="203" t="s">
        <v>160</v>
      </c>
      <c r="B23" s="201">
        <v>19</v>
      </c>
      <c r="C23" s="204">
        <v>-21923.952010000001</v>
      </c>
      <c r="D23" s="204">
        <f>-14135.46769-224</f>
        <v>-14359.467689999999</v>
      </c>
      <c r="E23" s="204">
        <v>-6683493.9799999995</v>
      </c>
      <c r="F23" s="305">
        <f t="shared" si="6"/>
        <v>-21924</v>
      </c>
      <c r="K23" s="119">
        <v>-274</v>
      </c>
    </row>
    <row r="24" spans="1:12" x14ac:dyDescent="0.3">
      <c r="A24" s="203" t="s">
        <v>161</v>
      </c>
      <c r="B24" s="201"/>
      <c r="C24" s="204">
        <v>-115.64563</v>
      </c>
      <c r="D24" s="204">
        <v>-273.43099000000001</v>
      </c>
      <c r="E24" s="204">
        <v>-184690.22</v>
      </c>
      <c r="F24" s="305">
        <f t="shared" si="6"/>
        <v>-116</v>
      </c>
      <c r="K24" s="119">
        <f>SUM(K19:K23)</f>
        <v>-43455</v>
      </c>
    </row>
    <row r="25" spans="1:12" x14ac:dyDescent="0.3">
      <c r="A25" s="203" t="s">
        <v>162</v>
      </c>
      <c r="B25" s="201"/>
      <c r="C25" s="204">
        <v>519.75554</v>
      </c>
      <c r="D25" s="204">
        <v>-274.11734999999999</v>
      </c>
      <c r="E25" s="204">
        <v>0</v>
      </c>
      <c r="F25" s="305">
        <f t="shared" si="6"/>
        <v>520</v>
      </c>
    </row>
    <row r="26" spans="1:12" hidden="1" x14ac:dyDescent="0.3">
      <c r="A26" s="203" t="s">
        <v>163</v>
      </c>
      <c r="B26" s="201"/>
      <c r="C26" s="204"/>
      <c r="D26" s="204"/>
      <c r="E26" s="204"/>
    </row>
    <row r="27" spans="1:12" x14ac:dyDescent="0.3">
      <c r="A27" s="203" t="s">
        <v>164</v>
      </c>
      <c r="B27" s="201">
        <v>10</v>
      </c>
      <c r="C27" s="204">
        <v>-167.78424000000001</v>
      </c>
      <c r="D27" s="204">
        <f>-344.17723+224</f>
        <v>-120.17723000000001</v>
      </c>
      <c r="E27" s="204">
        <v>-73084.02</v>
      </c>
      <c r="F27" s="305">
        <f t="shared" ref="F27:F28" si="7">ROUND(C27,0)</f>
        <v>-168</v>
      </c>
      <c r="L27" s="119">
        <v>-36995</v>
      </c>
    </row>
    <row r="28" spans="1:12" x14ac:dyDescent="0.3">
      <c r="A28" s="203" t="s">
        <v>165</v>
      </c>
      <c r="B28" s="201">
        <v>9</v>
      </c>
      <c r="C28" s="204">
        <v>-1884.05745</v>
      </c>
      <c r="D28" s="204">
        <v>0</v>
      </c>
      <c r="E28" s="204"/>
      <c r="F28" s="305">
        <f t="shared" si="7"/>
        <v>-1884</v>
      </c>
      <c r="L28" s="119">
        <v>-344</v>
      </c>
    </row>
    <row r="29" spans="1:12" hidden="1" x14ac:dyDescent="0.3">
      <c r="A29" s="203"/>
      <c r="B29" s="201"/>
      <c r="C29" s="204"/>
      <c r="D29" s="204"/>
      <c r="E29" s="204"/>
    </row>
    <row r="30" spans="1:12" x14ac:dyDescent="0.3">
      <c r="A30" s="317" t="s">
        <v>302</v>
      </c>
      <c r="B30" s="201"/>
      <c r="C30" s="202">
        <f>SUM(C18,C20)+1</f>
        <v>-69312.642179999995</v>
      </c>
      <c r="D30" s="202">
        <f t="shared" ref="D30:E30" si="8">SUM(D18,D20)</f>
        <v>-37340.079469999997</v>
      </c>
      <c r="E30" s="202">
        <f t="shared" si="8"/>
        <v>-28920731.440000001</v>
      </c>
    </row>
    <row r="31" spans="1:12" hidden="1" x14ac:dyDescent="0.3">
      <c r="A31" s="203"/>
      <c r="B31" s="201"/>
      <c r="C31" s="204"/>
      <c r="D31" s="204"/>
      <c r="E31" s="204"/>
    </row>
    <row r="32" spans="1:12" x14ac:dyDescent="0.3">
      <c r="A32" s="203" t="s">
        <v>329</v>
      </c>
      <c r="B32" s="201">
        <v>20</v>
      </c>
      <c r="C32" s="204">
        <f>-64.33523+320.41706</f>
        <v>256.08182999999997</v>
      </c>
      <c r="D32" s="204">
        <f>-80.71494+482.38205</f>
        <v>401.66710999999998</v>
      </c>
      <c r="E32" s="204">
        <v>-75374.98</v>
      </c>
      <c r="F32" s="305">
        <f t="shared" ref="F32" si="9">ROUND(C32,0)</f>
        <v>256</v>
      </c>
    </row>
    <row r="33" spans="1:13" hidden="1" x14ac:dyDescent="0.3">
      <c r="A33" s="203" t="s">
        <v>166</v>
      </c>
      <c r="B33" s="201">
        <v>20</v>
      </c>
      <c r="C33" s="204">
        <v>0</v>
      </c>
      <c r="D33" s="204"/>
      <c r="E33" s="204">
        <v>154211.73000000001</v>
      </c>
    </row>
    <row r="34" spans="1:13" hidden="1" x14ac:dyDescent="0.3">
      <c r="A34" s="203"/>
      <c r="B34" s="201"/>
      <c r="C34" s="204"/>
      <c r="D34" s="204"/>
      <c r="E34" s="204"/>
      <c r="M34" s="119">
        <v>-37339</v>
      </c>
    </row>
    <row r="35" spans="1:13" x14ac:dyDescent="0.3">
      <c r="A35" s="317" t="s">
        <v>303</v>
      </c>
      <c r="B35" s="201"/>
      <c r="C35" s="202">
        <f>SUM(C32:C34)+C30</f>
        <v>-69056.56035</v>
      </c>
      <c r="D35" s="202">
        <f>SUM(D32:D34)+D30</f>
        <v>-36938.412359999995</v>
      </c>
      <c r="E35" s="202">
        <f>SUM(E32:E34)</f>
        <v>78836.750000000015</v>
      </c>
      <c r="M35" s="119">
        <v>402</v>
      </c>
    </row>
    <row r="36" spans="1:13" hidden="1" x14ac:dyDescent="0.3">
      <c r="A36" s="203"/>
      <c r="B36" s="201"/>
      <c r="C36" s="204"/>
      <c r="D36" s="204"/>
      <c r="E36" s="204"/>
      <c r="M36" s="119">
        <f>SUM(M34:M35)</f>
        <v>-36937</v>
      </c>
    </row>
    <row r="37" spans="1:13" hidden="1" x14ac:dyDescent="0.3">
      <c r="A37" s="203" t="s">
        <v>167</v>
      </c>
      <c r="B37" s="201"/>
      <c r="C37" s="204">
        <v>0</v>
      </c>
      <c r="D37" s="204">
        <v>0</v>
      </c>
      <c r="E37" s="204">
        <v>-632957.91</v>
      </c>
    </row>
    <row r="38" spans="1:13" hidden="1" x14ac:dyDescent="0.3">
      <c r="A38" s="203" t="s">
        <v>168</v>
      </c>
      <c r="B38" s="201"/>
      <c r="C38" s="204">
        <v>0</v>
      </c>
      <c r="D38" s="204">
        <v>0</v>
      </c>
      <c r="E38" s="204">
        <v>-1758216.43</v>
      </c>
    </row>
    <row r="39" spans="1:13" hidden="1" x14ac:dyDescent="0.3">
      <c r="A39" s="203"/>
      <c r="B39" s="201"/>
      <c r="C39" s="204"/>
      <c r="D39" s="204"/>
      <c r="E39" s="204"/>
    </row>
    <row r="40" spans="1:13" s="136" customFormat="1" x14ac:dyDescent="0.2">
      <c r="A40" s="206" t="s">
        <v>304</v>
      </c>
      <c r="B40" s="207"/>
      <c r="C40" s="208">
        <f>SUM(C35:C39)</f>
        <v>-69056.56035</v>
      </c>
      <c r="D40" s="208">
        <f t="shared" ref="D40:E40" si="10">SUM(D35:D39)</f>
        <v>-36938.412359999995</v>
      </c>
      <c r="E40" s="208">
        <f t="shared" si="10"/>
        <v>-2312337.59</v>
      </c>
    </row>
    <row r="41" spans="1:13" hidden="1" x14ac:dyDescent="0.3">
      <c r="A41" s="201"/>
      <c r="B41" s="201"/>
      <c r="C41" s="204"/>
      <c r="D41" s="204"/>
      <c r="E41" s="204"/>
    </row>
    <row r="42" spans="1:13" s="136" customFormat="1" hidden="1" x14ac:dyDescent="0.2">
      <c r="A42" s="206" t="s">
        <v>117</v>
      </c>
      <c r="B42" s="207"/>
      <c r="C42" s="208">
        <v>0</v>
      </c>
      <c r="D42" s="208">
        <v>0</v>
      </c>
      <c r="E42" s="208">
        <v>0</v>
      </c>
    </row>
    <row r="43" spans="1:13" hidden="1" x14ac:dyDescent="0.3">
      <c r="A43" s="201"/>
      <c r="B43" s="201"/>
      <c r="C43" s="204"/>
      <c r="D43" s="204"/>
      <c r="E43" s="204"/>
    </row>
    <row r="44" spans="1:13" s="136" customFormat="1" hidden="1" x14ac:dyDescent="0.2">
      <c r="A44" s="206" t="s">
        <v>118</v>
      </c>
      <c r="B44" s="207"/>
      <c r="C44" s="208">
        <f>+C40-C42</f>
        <v>-69056.56035</v>
      </c>
      <c r="D44" s="208">
        <f t="shared" ref="D44:E44" si="11">+D40-D42</f>
        <v>-36938.412359999995</v>
      </c>
      <c r="E44" s="208">
        <f t="shared" si="11"/>
        <v>-2312337.59</v>
      </c>
    </row>
    <row r="45" spans="1:13" hidden="1" x14ac:dyDescent="0.3">
      <c r="A45" s="201"/>
      <c r="B45" s="201"/>
      <c r="C45" s="204"/>
      <c r="D45" s="204"/>
      <c r="E45" s="204"/>
    </row>
    <row r="46" spans="1:13" x14ac:dyDescent="0.3">
      <c r="A46" s="209" t="s">
        <v>135</v>
      </c>
      <c r="B46" s="210"/>
      <c r="C46" s="211">
        <v>319052070585</v>
      </c>
      <c r="D46" s="211">
        <v>82163576</v>
      </c>
      <c r="E46" s="211"/>
    </row>
    <row r="47" spans="1:13" x14ac:dyDescent="0.3">
      <c r="A47" s="212" t="s">
        <v>136</v>
      </c>
      <c r="B47" s="210"/>
      <c r="C47" s="323">
        <f>+C40/C46</f>
        <v>-2.1644291548831165E-7</v>
      </c>
      <c r="D47" s="323">
        <f>+D40/D46</f>
        <v>-4.4957162477933039E-4</v>
      </c>
      <c r="E47" s="213"/>
    </row>
    <row r="48" spans="1:13" hidden="1" x14ac:dyDescent="0.3">
      <c r="A48" s="198"/>
      <c r="B48" s="198"/>
      <c r="C48" s="201"/>
      <c r="D48" s="201"/>
      <c r="E48" s="201"/>
    </row>
    <row r="49" spans="1:5" hidden="1" x14ac:dyDescent="0.3">
      <c r="A49" s="201"/>
      <c r="B49" s="201"/>
      <c r="C49" s="214" t="s">
        <v>134</v>
      </c>
      <c r="D49" s="214" t="s">
        <v>134</v>
      </c>
      <c r="E49" s="214"/>
    </row>
    <row r="50" spans="1:5" hidden="1" x14ac:dyDescent="0.3">
      <c r="A50" s="201"/>
      <c r="B50" s="201"/>
      <c r="C50" s="214"/>
      <c r="D50" s="214"/>
      <c r="E50" s="214"/>
    </row>
    <row r="51" spans="1:5" x14ac:dyDescent="0.3">
      <c r="A51" s="307" t="s">
        <v>129</v>
      </c>
      <c r="B51" s="156"/>
      <c r="C51" s="156"/>
      <c r="D51" s="156"/>
      <c r="E51" s="156"/>
    </row>
  </sheetData>
  <phoneticPr fontId="0" type="noConversion"/>
  <pageMargins left="1" right="1" top="1" bottom="1" header="0.5" footer="0.5"/>
  <pageSetup paperSize="9" scale="7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  <pageSetUpPr fitToPage="1"/>
  </sheetPr>
  <dimension ref="A1:E60"/>
  <sheetViews>
    <sheetView showGridLines="0" view="pageBreakPreview" zoomScale="80" zoomScaleNormal="80" zoomScaleSheetLayoutView="80" workbookViewId="0">
      <selection activeCell="A21" sqref="A21"/>
    </sheetView>
  </sheetViews>
  <sheetFormatPr defaultColWidth="11" defaultRowHeight="16.5" outlineLevelCol="1" x14ac:dyDescent="0.3"/>
  <cols>
    <col min="1" max="1" width="83.140625" style="119" bestFit="1" customWidth="1"/>
    <col min="2" max="2" width="31.28515625" style="119" bestFit="1" customWidth="1"/>
    <col min="3" max="3" width="14.7109375" style="119" bestFit="1" customWidth="1"/>
    <col min="4" max="4" width="14.7109375" style="119" hidden="1" customWidth="1" outlineLevel="1"/>
    <col min="5" max="5" width="11" style="119" collapsed="1"/>
    <col min="6" max="16384" width="11" style="119"/>
  </cols>
  <sheetData>
    <row r="1" spans="1:4" x14ac:dyDescent="0.3">
      <c r="A1" s="117" t="str">
        <f>Ativo!A1</f>
        <v>PROVU SERVICOS DE ADMINISTRACAO E CORRESPONDENTE BANCARIO S.A.</v>
      </c>
      <c r="B1" s="118"/>
      <c r="C1" s="118"/>
      <c r="D1" s="118"/>
    </row>
    <row r="2" spans="1:4" x14ac:dyDescent="0.3">
      <c r="A2" s="117" t="s">
        <v>283</v>
      </c>
      <c r="B2" s="118"/>
      <c r="C2" s="118"/>
      <c r="D2" s="118"/>
    </row>
    <row r="3" spans="1:4" x14ac:dyDescent="0.3">
      <c r="A3" s="117" t="str">
        <f>Ativo!A3</f>
        <v>CNPJ: 20.265.259/0001-71</v>
      </c>
      <c r="B3" s="120"/>
      <c r="C3" s="120"/>
      <c r="D3" s="120"/>
    </row>
    <row r="4" spans="1:4" x14ac:dyDescent="0.3">
      <c r="A4" s="118" t="s">
        <v>107</v>
      </c>
      <c r="B4" s="182"/>
      <c r="C4" s="182"/>
      <c r="D4" s="182"/>
    </row>
    <row r="5" spans="1:4" x14ac:dyDescent="0.3">
      <c r="A5" s="117" t="s">
        <v>322</v>
      </c>
      <c r="B5" s="183"/>
      <c r="C5" s="183"/>
      <c r="D5" s="183"/>
    </row>
    <row r="6" spans="1:4" s="136" customFormat="1" x14ac:dyDescent="0.2">
      <c r="A6" s="184"/>
      <c r="B6" s="163" t="str">
        <f>Ativo!C6</f>
        <v>2021</v>
      </c>
      <c r="C6" s="163" t="str">
        <f>Ativo!D6</f>
        <v>2020</v>
      </c>
      <c r="D6" s="163">
        <f>Ativo!E6</f>
        <v>43830</v>
      </c>
    </row>
    <row r="7" spans="1:4" hidden="1" x14ac:dyDescent="0.3">
      <c r="A7" s="156"/>
      <c r="B7" s="185"/>
      <c r="C7" s="185"/>
      <c r="D7" s="185"/>
    </row>
    <row r="8" spans="1:4" s="136" customFormat="1" x14ac:dyDescent="0.2">
      <c r="A8" s="186" t="s">
        <v>169</v>
      </c>
      <c r="B8" s="187">
        <f>'Result(P)'!C40</f>
        <v>-69056.56035</v>
      </c>
      <c r="C8" s="187">
        <f>'Result(P)'!D40</f>
        <v>-36938.412359999995</v>
      </c>
      <c r="D8" s="187">
        <f>'Result(P)'!E40</f>
        <v>-2312337.59</v>
      </c>
    </row>
    <row r="9" spans="1:4" hidden="1" x14ac:dyDescent="0.3">
      <c r="A9" s="156"/>
      <c r="B9" s="188"/>
      <c r="C9" s="188"/>
      <c r="D9" s="188"/>
    </row>
    <row r="10" spans="1:4" s="136" customFormat="1" hidden="1" x14ac:dyDescent="0.2">
      <c r="A10" s="186" t="s">
        <v>108</v>
      </c>
      <c r="B10" s="187">
        <f>SUM(B11)</f>
        <v>0</v>
      </c>
      <c r="C10" s="187">
        <f t="shared" ref="C10:D10" si="0">SUM(C11)</f>
        <v>0</v>
      </c>
      <c r="D10" s="187">
        <f t="shared" si="0"/>
        <v>0</v>
      </c>
    </row>
    <row r="11" spans="1:4" s="136" customFormat="1" hidden="1" x14ac:dyDescent="0.2">
      <c r="A11" s="189" t="s">
        <v>330</v>
      </c>
      <c r="B11" s="188">
        <v>0</v>
      </c>
      <c r="C11" s="188">
        <v>0</v>
      </c>
      <c r="D11" s="188">
        <v>0</v>
      </c>
    </row>
    <row r="12" spans="1:4" hidden="1" x14ac:dyDescent="0.3">
      <c r="A12" s="153"/>
      <c r="B12" s="190" t="s">
        <v>134</v>
      </c>
      <c r="C12" s="154"/>
      <c r="D12" s="190" t="s">
        <v>134</v>
      </c>
    </row>
    <row r="13" spans="1:4" x14ac:dyDescent="0.3">
      <c r="A13" s="191" t="s">
        <v>109</v>
      </c>
      <c r="B13" s="192">
        <f>SUM(B8,B10)</f>
        <v>-69056.56035</v>
      </c>
      <c r="C13" s="192">
        <f t="shared" ref="C13:D13" si="1">SUM(C8,C10)</f>
        <v>-36938.412359999995</v>
      </c>
      <c r="D13" s="192">
        <f t="shared" si="1"/>
        <v>-2312337.59</v>
      </c>
    </row>
    <row r="14" spans="1:4" hidden="1" x14ac:dyDescent="0.3">
      <c r="A14" s="193"/>
      <c r="B14" s="194"/>
      <c r="C14" s="194"/>
      <c r="D14" s="194"/>
    </row>
    <row r="15" spans="1:4" hidden="1" x14ac:dyDescent="0.3">
      <c r="A15" s="193"/>
      <c r="B15" s="194"/>
      <c r="C15" s="194"/>
      <c r="D15" s="194"/>
    </row>
    <row r="16" spans="1:4" x14ac:dyDescent="0.3">
      <c r="A16" s="307" t="s">
        <v>129</v>
      </c>
      <c r="B16" s="185"/>
      <c r="C16" s="185"/>
      <c r="D16" s="185"/>
    </row>
    <row r="60" spans="1:4" x14ac:dyDescent="0.3">
      <c r="A60" s="150"/>
      <c r="B60" s="150"/>
      <c r="C60" s="150"/>
      <c r="D60" s="150"/>
    </row>
  </sheetData>
  <pageMargins left="1" right="1" top="1" bottom="1" header="0.5" footer="0.5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  <pageSetUpPr fitToPage="1"/>
  </sheetPr>
  <dimension ref="A1:K54"/>
  <sheetViews>
    <sheetView showGridLines="0" view="pageBreakPreview" zoomScale="80" zoomScaleNormal="80" zoomScaleSheetLayoutView="80" workbookViewId="0">
      <pane xSplit="1" ySplit="8" topLeftCell="B9" activePane="bottomRight" state="frozen"/>
      <selection activeCell="G35" sqref="G35"/>
      <selection pane="topRight" activeCell="G35" sqref="G35"/>
      <selection pane="bottomLeft" activeCell="G35" sqref="G35"/>
      <selection pane="bottomRight" activeCell="A52" activeCellId="2" sqref="A49:XFD49 A51:XFD51 A52:XFD52"/>
    </sheetView>
  </sheetViews>
  <sheetFormatPr defaultColWidth="11" defaultRowHeight="16.5" x14ac:dyDescent="0.3"/>
  <cols>
    <col min="1" max="1" width="78.85546875" style="119" bestFit="1" customWidth="1"/>
    <col min="2" max="2" width="13.7109375" style="119" bestFit="1" customWidth="1"/>
    <col min="3" max="3" width="11" style="119" hidden="1" customWidth="1"/>
    <col min="4" max="4" width="13.7109375" style="119" bestFit="1" customWidth="1"/>
    <col min="5" max="5" width="10.28515625" style="119" hidden="1" customWidth="1"/>
    <col min="6" max="6" width="14.85546875" style="119" hidden="1" customWidth="1"/>
    <col min="7" max="7" width="15.140625" style="119" hidden="1" customWidth="1"/>
    <col min="8" max="8" width="16.85546875" style="119" bestFit="1" customWidth="1"/>
    <col min="9" max="9" width="32.85546875" style="119" hidden="1" customWidth="1"/>
    <col min="10" max="10" width="19.28515625" style="119" bestFit="1" customWidth="1"/>
    <col min="11" max="11" width="19.28515625" style="119" hidden="1" customWidth="1"/>
    <col min="12" max="12" width="19.42578125" style="119" bestFit="1" customWidth="1"/>
    <col min="13" max="16384" width="11" style="119"/>
  </cols>
  <sheetData>
    <row r="1" spans="1:11" x14ac:dyDescent="0.3">
      <c r="A1" s="117" t="str">
        <f>Ativo!A1</f>
        <v>PROVU SERVICOS DE ADMINISTRACAO E CORRESPONDENTE BANCARIO S.A.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x14ac:dyDescent="0.3">
      <c r="A2" s="117" t="s">
        <v>283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x14ac:dyDescent="0.3">
      <c r="A3" s="117" t="str">
        <f>Ativo!A3</f>
        <v>CNPJ: 20.265.259/0001-71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x14ac:dyDescent="0.3">
      <c r="A4" s="118" t="s">
        <v>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x14ac:dyDescent="0.3">
      <c r="A5" s="117" t="s">
        <v>322</v>
      </c>
      <c r="B5" s="121"/>
      <c r="C5" s="122"/>
      <c r="D5" s="123"/>
      <c r="E5" s="123"/>
      <c r="F5" s="123"/>
      <c r="G5" s="123"/>
      <c r="H5" s="123"/>
      <c r="I5" s="121"/>
      <c r="J5" s="121"/>
      <c r="K5" s="121"/>
    </row>
    <row r="6" spans="1:11" x14ac:dyDescent="0.3">
      <c r="A6" s="124"/>
      <c r="B6" s="125" t="s">
        <v>10</v>
      </c>
      <c r="C6" s="125" t="s">
        <v>115</v>
      </c>
      <c r="D6" s="125" t="s">
        <v>11</v>
      </c>
      <c r="E6" s="126" t="s">
        <v>101</v>
      </c>
      <c r="F6" s="126" t="s">
        <v>21</v>
      </c>
      <c r="G6" s="125" t="s">
        <v>23</v>
      </c>
      <c r="H6" s="125"/>
      <c r="I6" s="125" t="s">
        <v>42</v>
      </c>
      <c r="J6" s="127"/>
      <c r="K6" s="127" t="s">
        <v>119</v>
      </c>
    </row>
    <row r="7" spans="1:11" x14ac:dyDescent="0.3">
      <c r="A7" s="128"/>
      <c r="B7" s="129" t="s">
        <v>12</v>
      </c>
      <c r="C7" s="130" t="s">
        <v>13</v>
      </c>
      <c r="D7" s="130" t="s">
        <v>14</v>
      </c>
      <c r="E7" s="129" t="s">
        <v>102</v>
      </c>
      <c r="F7" s="129" t="s">
        <v>103</v>
      </c>
      <c r="G7" s="129" t="s">
        <v>24</v>
      </c>
      <c r="H7" s="129" t="s">
        <v>15</v>
      </c>
      <c r="I7" s="129" t="s">
        <v>43</v>
      </c>
      <c r="J7" s="129"/>
      <c r="K7" s="129" t="s">
        <v>121</v>
      </c>
    </row>
    <row r="8" spans="1:11" x14ac:dyDescent="0.3">
      <c r="A8" s="131"/>
      <c r="B8" s="132"/>
      <c r="C8" s="132" t="s">
        <v>16</v>
      </c>
      <c r="D8" s="132" t="s">
        <v>17</v>
      </c>
      <c r="E8" s="132"/>
      <c r="F8" s="132" t="s">
        <v>22</v>
      </c>
      <c r="G8" s="132" t="s">
        <v>25</v>
      </c>
      <c r="H8" s="132" t="s">
        <v>18</v>
      </c>
      <c r="I8" s="132"/>
      <c r="J8" s="132" t="s">
        <v>331</v>
      </c>
      <c r="K8" s="132" t="s">
        <v>120</v>
      </c>
    </row>
    <row r="9" spans="1:11" s="136" customFormat="1" x14ac:dyDescent="0.2">
      <c r="A9" s="133" t="s">
        <v>305</v>
      </c>
      <c r="B9" s="134">
        <v>33567.675999999999</v>
      </c>
      <c r="C9" s="134">
        <v>0</v>
      </c>
      <c r="D9" s="134">
        <v>26760.62615</v>
      </c>
      <c r="E9" s="134">
        <v>0</v>
      </c>
      <c r="F9" s="134">
        <v>0</v>
      </c>
      <c r="G9" s="134">
        <v>0</v>
      </c>
      <c r="H9" s="134">
        <v>-59782.632400000002</v>
      </c>
      <c r="I9" s="134">
        <v>0</v>
      </c>
      <c r="J9" s="135">
        <f>SUM(B9:I9)</f>
        <v>545.66975000000093</v>
      </c>
      <c r="K9" s="134">
        <v>0</v>
      </c>
    </row>
    <row r="10" spans="1:11" hidden="1" x14ac:dyDescent="0.3">
      <c r="A10" s="137" t="s">
        <v>0</v>
      </c>
      <c r="B10" s="138"/>
      <c r="C10" s="139"/>
      <c r="D10" s="139"/>
      <c r="E10" s="140"/>
      <c r="F10" s="140"/>
      <c r="G10" s="139"/>
      <c r="H10" s="140"/>
      <c r="I10" s="138"/>
      <c r="J10" s="135">
        <f t="shared" ref="J10:J46" si="0">SUM(B10:I10)</f>
        <v>0</v>
      </c>
      <c r="K10" s="134">
        <v>0</v>
      </c>
    </row>
    <row r="11" spans="1:11" hidden="1" x14ac:dyDescent="0.3">
      <c r="A11" s="137" t="s">
        <v>122</v>
      </c>
      <c r="B11" s="138"/>
      <c r="C11" s="139"/>
      <c r="D11" s="139"/>
      <c r="E11" s="140"/>
      <c r="F11" s="140"/>
      <c r="G11" s="139"/>
      <c r="H11" s="140"/>
      <c r="I11" s="138"/>
      <c r="J11" s="135">
        <f t="shared" si="0"/>
        <v>0</v>
      </c>
      <c r="K11" s="134">
        <v>0</v>
      </c>
    </row>
    <row r="12" spans="1:11" hidden="1" x14ac:dyDescent="0.3">
      <c r="A12" s="137" t="s">
        <v>1</v>
      </c>
      <c r="B12" s="138"/>
      <c r="C12" s="138"/>
      <c r="D12" s="140"/>
      <c r="E12" s="139"/>
      <c r="F12" s="140"/>
      <c r="G12" s="139"/>
      <c r="H12" s="140"/>
      <c r="I12" s="138"/>
      <c r="J12" s="135">
        <f t="shared" si="0"/>
        <v>0</v>
      </c>
      <c r="K12" s="134">
        <v>0</v>
      </c>
    </row>
    <row r="13" spans="1:11" hidden="1" x14ac:dyDescent="0.3">
      <c r="A13" s="141" t="s">
        <v>132</v>
      </c>
      <c r="B13" s="138"/>
      <c r="C13" s="138"/>
      <c r="D13" s="142"/>
      <c r="E13" s="143"/>
      <c r="F13" s="144"/>
      <c r="G13" s="143"/>
      <c r="H13" s="140"/>
      <c r="I13" s="138"/>
      <c r="J13" s="135">
        <f t="shared" si="0"/>
        <v>0</v>
      </c>
      <c r="K13" s="134">
        <v>0</v>
      </c>
    </row>
    <row r="14" spans="1:11" hidden="1" x14ac:dyDescent="0.3">
      <c r="A14" s="137" t="s">
        <v>4</v>
      </c>
      <c r="B14" s="138"/>
      <c r="C14" s="139"/>
      <c r="D14" s="139"/>
      <c r="E14" s="139"/>
      <c r="F14" s="139"/>
      <c r="G14" s="139"/>
      <c r="H14" s="140"/>
      <c r="I14" s="138"/>
      <c r="J14" s="135">
        <f t="shared" si="0"/>
        <v>0</v>
      </c>
      <c r="K14" s="134">
        <v>0</v>
      </c>
    </row>
    <row r="15" spans="1:11" hidden="1" x14ac:dyDescent="0.3">
      <c r="A15" s="137"/>
      <c r="B15" s="138"/>
      <c r="C15" s="139"/>
      <c r="D15" s="139"/>
      <c r="E15" s="139"/>
      <c r="F15" s="139"/>
      <c r="G15" s="139"/>
      <c r="H15" s="140"/>
      <c r="I15" s="138"/>
      <c r="J15" s="135"/>
      <c r="K15" s="134"/>
    </row>
    <row r="16" spans="1:11" x14ac:dyDescent="0.3">
      <c r="A16" s="137" t="s">
        <v>2</v>
      </c>
      <c r="B16" s="322">
        <v>48595.9</v>
      </c>
      <c r="C16" s="322"/>
      <c r="D16" s="322">
        <v>-250</v>
      </c>
      <c r="E16" s="140"/>
      <c r="F16" s="140"/>
      <c r="G16" s="140"/>
      <c r="H16" s="140">
        <v>0</v>
      </c>
      <c r="I16" s="140"/>
      <c r="J16" s="135">
        <f t="shared" si="0"/>
        <v>48345.9</v>
      </c>
      <c r="K16" s="134">
        <v>0</v>
      </c>
    </row>
    <row r="17" spans="1:11" hidden="1" x14ac:dyDescent="0.3">
      <c r="A17" s="137" t="s">
        <v>71</v>
      </c>
      <c r="B17" s="140"/>
      <c r="C17" s="140"/>
      <c r="D17" s="140"/>
      <c r="E17" s="140"/>
      <c r="F17" s="140"/>
      <c r="G17" s="140"/>
      <c r="H17" s="140"/>
      <c r="I17" s="140"/>
      <c r="J17" s="135">
        <f t="shared" si="0"/>
        <v>0</v>
      </c>
      <c r="K17" s="134">
        <v>0</v>
      </c>
    </row>
    <row r="18" spans="1:11" hidden="1" x14ac:dyDescent="0.3">
      <c r="A18" s="137" t="s">
        <v>113</v>
      </c>
      <c r="B18" s="140"/>
      <c r="C18" s="140"/>
      <c r="D18" s="140"/>
      <c r="E18" s="140"/>
      <c r="F18" s="140"/>
      <c r="G18" s="140"/>
      <c r="H18" s="140"/>
      <c r="I18" s="140"/>
      <c r="J18" s="135">
        <f t="shared" si="0"/>
        <v>0</v>
      </c>
      <c r="K18" s="134">
        <v>0</v>
      </c>
    </row>
    <row r="19" spans="1:11" hidden="1" x14ac:dyDescent="0.3">
      <c r="A19" s="137" t="s">
        <v>124</v>
      </c>
      <c r="B19" s="140"/>
      <c r="C19" s="140"/>
      <c r="D19" s="140"/>
      <c r="E19" s="140"/>
      <c r="F19" s="140"/>
      <c r="G19" s="140"/>
      <c r="H19" s="140"/>
      <c r="I19" s="140"/>
      <c r="J19" s="135">
        <f t="shared" si="0"/>
        <v>0</v>
      </c>
      <c r="K19" s="134">
        <v>0</v>
      </c>
    </row>
    <row r="20" spans="1:11" x14ac:dyDescent="0.3">
      <c r="A20" s="137" t="s">
        <v>310</v>
      </c>
      <c r="B20" s="138">
        <v>0</v>
      </c>
      <c r="C20" s="138"/>
      <c r="D20" s="138">
        <v>0</v>
      </c>
      <c r="E20" s="138"/>
      <c r="F20" s="138"/>
      <c r="G20" s="138"/>
      <c r="H20" s="139">
        <f>'Result(P)'!D44</f>
        <v>-36938.412359999995</v>
      </c>
      <c r="I20" s="138"/>
      <c r="J20" s="135">
        <f t="shared" si="0"/>
        <v>-36938.412359999995</v>
      </c>
      <c r="K20" s="134">
        <v>0</v>
      </c>
    </row>
    <row r="21" spans="1:11" hidden="1" x14ac:dyDescent="0.3">
      <c r="A21" s="137" t="s">
        <v>3</v>
      </c>
      <c r="B21" s="145"/>
      <c r="C21" s="145"/>
      <c r="D21" s="145"/>
      <c r="E21" s="139"/>
      <c r="F21" s="139"/>
      <c r="G21" s="145"/>
      <c r="H21" s="144"/>
      <c r="I21" s="145"/>
      <c r="J21" s="135">
        <f t="shared" si="0"/>
        <v>0</v>
      </c>
      <c r="K21" s="145">
        <v>0</v>
      </c>
    </row>
    <row r="22" spans="1:11" hidden="1" x14ac:dyDescent="0.3">
      <c r="A22" s="141" t="s">
        <v>133</v>
      </c>
      <c r="B22" s="145"/>
      <c r="C22" s="145"/>
      <c r="D22" s="145"/>
      <c r="E22" s="138"/>
      <c r="F22" s="144"/>
      <c r="G22" s="145"/>
      <c r="H22" s="144"/>
      <c r="I22" s="145"/>
      <c r="J22" s="135">
        <f t="shared" si="0"/>
        <v>0</v>
      </c>
      <c r="K22" s="145">
        <v>0</v>
      </c>
    </row>
    <row r="23" spans="1:11" hidden="1" x14ac:dyDescent="0.3">
      <c r="A23" s="137" t="s">
        <v>125</v>
      </c>
      <c r="B23" s="145"/>
      <c r="C23" s="145"/>
      <c r="D23" s="145"/>
      <c r="E23" s="144"/>
      <c r="F23" s="138"/>
      <c r="G23" s="145"/>
      <c r="H23" s="138"/>
      <c r="I23" s="145"/>
      <c r="J23" s="135">
        <f t="shared" si="0"/>
        <v>0</v>
      </c>
      <c r="K23" s="145">
        <v>0</v>
      </c>
    </row>
    <row r="24" spans="1:11" hidden="1" x14ac:dyDescent="0.3">
      <c r="A24" s="137" t="s">
        <v>79</v>
      </c>
      <c r="B24" s="145"/>
      <c r="C24" s="145"/>
      <c r="D24" s="145"/>
      <c r="E24" s="144"/>
      <c r="F24" s="144"/>
      <c r="G24" s="145"/>
      <c r="H24" s="145"/>
      <c r="I24" s="145"/>
      <c r="J24" s="135">
        <f t="shared" si="0"/>
        <v>0</v>
      </c>
      <c r="K24" s="145">
        <v>0</v>
      </c>
    </row>
    <row r="25" spans="1:11" hidden="1" x14ac:dyDescent="0.3">
      <c r="A25" s="137"/>
      <c r="B25" s="145"/>
      <c r="C25" s="145"/>
      <c r="D25" s="145"/>
      <c r="E25" s="144"/>
      <c r="F25" s="144"/>
      <c r="G25" s="145"/>
      <c r="H25" s="145"/>
      <c r="I25" s="145"/>
      <c r="J25" s="135"/>
      <c r="K25" s="145"/>
    </row>
    <row r="26" spans="1:11" x14ac:dyDescent="0.3">
      <c r="A26" s="146" t="s">
        <v>308</v>
      </c>
      <c r="B26" s="147">
        <f t="shared" ref="B26:K26" si="1">SUM(B9:B24)</f>
        <v>82163.576000000001</v>
      </c>
      <c r="C26" s="147">
        <f t="shared" si="1"/>
        <v>0</v>
      </c>
      <c r="D26" s="147">
        <f t="shared" si="1"/>
        <v>26510.62615</v>
      </c>
      <c r="E26" s="147">
        <f t="shared" si="1"/>
        <v>0</v>
      </c>
      <c r="F26" s="147">
        <f t="shared" si="1"/>
        <v>0</v>
      </c>
      <c r="G26" s="147">
        <f t="shared" si="1"/>
        <v>0</v>
      </c>
      <c r="H26" s="147">
        <f t="shared" si="1"/>
        <v>-96721.04475999999</v>
      </c>
      <c r="I26" s="147">
        <f t="shared" si="1"/>
        <v>0</v>
      </c>
      <c r="J26" s="147">
        <f t="shared" si="1"/>
        <v>11953.157390000008</v>
      </c>
      <c r="K26" s="147">
        <f t="shared" si="1"/>
        <v>0</v>
      </c>
    </row>
    <row r="27" spans="1:11" hidden="1" x14ac:dyDescent="0.3">
      <c r="A27" s="137"/>
      <c r="B27" s="145"/>
      <c r="C27" s="145"/>
      <c r="D27" s="145"/>
      <c r="E27" s="144"/>
      <c r="F27" s="144"/>
      <c r="G27" s="145"/>
      <c r="H27" s="145"/>
      <c r="I27" s="145"/>
      <c r="J27" s="135"/>
      <c r="K27" s="145"/>
    </row>
    <row r="28" spans="1:11" x14ac:dyDescent="0.3">
      <c r="A28" s="146" t="s">
        <v>306</v>
      </c>
      <c r="B28" s="147">
        <f>SUM(B16:B20)</f>
        <v>48595.9</v>
      </c>
      <c r="C28" s="147"/>
      <c r="D28" s="147">
        <f>SUM(D16:D20)</f>
        <v>-250</v>
      </c>
      <c r="E28" s="147"/>
      <c r="F28" s="147"/>
      <c r="G28" s="147"/>
      <c r="H28" s="147">
        <f>SUM(H16:H20)</f>
        <v>-36938.412359999995</v>
      </c>
      <c r="I28" s="147"/>
      <c r="J28" s="147">
        <f>SUM(J16:J20)</f>
        <v>11407.487640000007</v>
      </c>
      <c r="K28" s="145"/>
    </row>
    <row r="29" spans="1:11" hidden="1" x14ac:dyDescent="0.3">
      <c r="A29" s="137"/>
      <c r="B29" s="138"/>
      <c r="C29" s="139"/>
      <c r="D29" s="139"/>
      <c r="E29" s="139"/>
      <c r="F29" s="139"/>
      <c r="G29" s="139"/>
      <c r="H29" s="140"/>
      <c r="I29" s="138"/>
      <c r="J29" s="135"/>
      <c r="K29" s="145"/>
    </row>
    <row r="30" spans="1:11" x14ac:dyDescent="0.3">
      <c r="A30" s="146" t="s">
        <v>307</v>
      </c>
      <c r="B30" s="147">
        <f>B26</f>
        <v>82163.576000000001</v>
      </c>
      <c r="C30" s="147">
        <f t="shared" ref="C30:J30" si="2">C26</f>
        <v>0</v>
      </c>
      <c r="D30" s="147">
        <f t="shared" si="2"/>
        <v>26510.62615</v>
      </c>
      <c r="E30" s="147">
        <f t="shared" si="2"/>
        <v>0</v>
      </c>
      <c r="F30" s="147">
        <f t="shared" si="2"/>
        <v>0</v>
      </c>
      <c r="G30" s="147">
        <f t="shared" si="2"/>
        <v>0</v>
      </c>
      <c r="H30" s="147">
        <f t="shared" si="2"/>
        <v>-96721.04475999999</v>
      </c>
      <c r="I30" s="147">
        <f t="shared" si="2"/>
        <v>0</v>
      </c>
      <c r="J30" s="147">
        <f t="shared" si="2"/>
        <v>11953.157390000008</v>
      </c>
      <c r="K30" s="145"/>
    </row>
    <row r="31" spans="1:11" hidden="1" x14ac:dyDescent="0.3">
      <c r="A31" s="148"/>
      <c r="B31" s="149" t="s">
        <v>134</v>
      </c>
      <c r="C31" s="149" t="s">
        <v>134</v>
      </c>
      <c r="D31" s="149" t="s">
        <v>134</v>
      </c>
      <c r="E31" s="149" t="s">
        <v>134</v>
      </c>
      <c r="F31" s="149" t="s">
        <v>134</v>
      </c>
      <c r="G31" s="149" t="s">
        <v>134</v>
      </c>
      <c r="H31" s="149" t="s">
        <v>134</v>
      </c>
      <c r="I31" s="149" t="s">
        <v>134</v>
      </c>
      <c r="J31" s="135">
        <f t="shared" si="0"/>
        <v>0</v>
      </c>
      <c r="K31" s="150"/>
    </row>
    <row r="32" spans="1:11" hidden="1" x14ac:dyDescent="0.3">
      <c r="A32" s="137" t="s">
        <v>0</v>
      </c>
      <c r="B32" s="138"/>
      <c r="C32" s="139"/>
      <c r="D32" s="139"/>
      <c r="E32" s="140"/>
      <c r="F32" s="140"/>
      <c r="G32" s="139"/>
      <c r="H32" s="140"/>
      <c r="I32" s="138"/>
      <c r="J32" s="135">
        <f t="shared" si="0"/>
        <v>0</v>
      </c>
      <c r="K32" s="145">
        <v>0</v>
      </c>
    </row>
    <row r="33" spans="1:11" hidden="1" x14ac:dyDescent="0.3">
      <c r="A33" s="137" t="s">
        <v>122</v>
      </c>
      <c r="B33" s="138"/>
      <c r="C33" s="139"/>
      <c r="D33" s="139"/>
      <c r="E33" s="140"/>
      <c r="F33" s="140"/>
      <c r="G33" s="139"/>
      <c r="H33" s="140"/>
      <c r="I33" s="138"/>
      <c r="J33" s="135">
        <f t="shared" si="0"/>
        <v>0</v>
      </c>
      <c r="K33" s="145">
        <v>0</v>
      </c>
    </row>
    <row r="34" spans="1:11" hidden="1" x14ac:dyDescent="0.3">
      <c r="A34" s="137" t="s">
        <v>1</v>
      </c>
      <c r="B34" s="138"/>
      <c r="C34" s="138"/>
      <c r="D34" s="140"/>
      <c r="E34" s="139"/>
      <c r="F34" s="140"/>
      <c r="G34" s="139"/>
      <c r="H34" s="140"/>
      <c r="I34" s="138"/>
      <c r="J34" s="135">
        <f t="shared" si="0"/>
        <v>0</v>
      </c>
      <c r="K34" s="145">
        <v>0</v>
      </c>
    </row>
    <row r="35" spans="1:11" hidden="1" x14ac:dyDescent="0.3">
      <c r="A35" s="141" t="s">
        <v>132</v>
      </c>
      <c r="B35" s="138"/>
      <c r="C35" s="138"/>
      <c r="D35" s="142"/>
      <c r="E35" s="143"/>
      <c r="F35" s="144"/>
      <c r="G35" s="143"/>
      <c r="H35" s="140"/>
      <c r="I35" s="138"/>
      <c r="J35" s="135">
        <f t="shared" si="0"/>
        <v>0</v>
      </c>
      <c r="K35" s="145">
        <v>0</v>
      </c>
    </row>
    <row r="36" spans="1:11" hidden="1" x14ac:dyDescent="0.3">
      <c r="A36" s="137" t="s">
        <v>4</v>
      </c>
      <c r="B36" s="138"/>
      <c r="C36" s="139"/>
      <c r="D36" s="139"/>
      <c r="E36" s="139"/>
      <c r="F36" s="139"/>
      <c r="G36" s="139"/>
      <c r="H36" s="140"/>
      <c r="I36" s="138"/>
      <c r="J36" s="135">
        <f t="shared" si="0"/>
        <v>0</v>
      </c>
      <c r="K36" s="145">
        <v>0</v>
      </c>
    </row>
    <row r="37" spans="1:11" hidden="1" x14ac:dyDescent="0.3">
      <c r="A37" s="137"/>
      <c r="B37" s="138"/>
      <c r="C37" s="139"/>
      <c r="D37" s="139"/>
      <c r="E37" s="139"/>
      <c r="F37" s="139"/>
      <c r="G37" s="139"/>
      <c r="H37" s="140"/>
      <c r="I37" s="138"/>
      <c r="J37" s="135"/>
      <c r="K37" s="145"/>
    </row>
    <row r="38" spans="1:11" x14ac:dyDescent="0.3">
      <c r="A38" s="137" t="s">
        <v>2</v>
      </c>
      <c r="B38" s="140">
        <v>58212</v>
      </c>
      <c r="C38" s="140"/>
      <c r="D38" s="140">
        <v>0</v>
      </c>
      <c r="E38" s="140"/>
      <c r="F38" s="140"/>
      <c r="G38" s="140"/>
      <c r="H38" s="140">
        <v>0</v>
      </c>
      <c r="I38" s="140"/>
      <c r="J38" s="135">
        <f t="shared" si="0"/>
        <v>58212</v>
      </c>
      <c r="K38" s="145">
        <v>0</v>
      </c>
    </row>
    <row r="39" spans="1:11" hidden="1" x14ac:dyDescent="0.3">
      <c r="A39" s="137" t="s">
        <v>71</v>
      </c>
      <c r="B39" s="140"/>
      <c r="C39" s="140"/>
      <c r="D39" s="140"/>
      <c r="E39" s="140"/>
      <c r="F39" s="140"/>
      <c r="G39" s="140"/>
      <c r="H39" s="140"/>
      <c r="I39" s="140"/>
      <c r="J39" s="135">
        <f t="shared" si="0"/>
        <v>0</v>
      </c>
      <c r="K39" s="145">
        <v>0</v>
      </c>
    </row>
    <row r="40" spans="1:11" hidden="1" x14ac:dyDescent="0.3">
      <c r="A40" s="137" t="s">
        <v>113</v>
      </c>
      <c r="B40" s="140"/>
      <c r="C40" s="140"/>
      <c r="D40" s="140"/>
      <c r="E40" s="140"/>
      <c r="F40" s="140"/>
      <c r="G40" s="140"/>
      <c r="H40" s="140"/>
      <c r="I40" s="140"/>
      <c r="J40" s="135">
        <f t="shared" si="0"/>
        <v>0</v>
      </c>
      <c r="K40" s="145">
        <v>0</v>
      </c>
    </row>
    <row r="41" spans="1:11" hidden="1" x14ac:dyDescent="0.3">
      <c r="A41" s="137" t="s">
        <v>124</v>
      </c>
      <c r="B41" s="140"/>
      <c r="C41" s="140"/>
      <c r="D41" s="140"/>
      <c r="E41" s="140"/>
      <c r="F41" s="140"/>
      <c r="G41" s="140"/>
      <c r="H41" s="140"/>
      <c r="I41" s="140"/>
      <c r="J41" s="135">
        <f t="shared" si="0"/>
        <v>0</v>
      </c>
      <c r="K41" s="145">
        <v>0</v>
      </c>
    </row>
    <row r="42" spans="1:11" x14ac:dyDescent="0.3">
      <c r="A42" s="137" t="s">
        <v>310</v>
      </c>
      <c r="B42" s="138">
        <v>0</v>
      </c>
      <c r="C42" s="138"/>
      <c r="D42" s="138">
        <v>0</v>
      </c>
      <c r="E42" s="138"/>
      <c r="F42" s="138"/>
      <c r="G42" s="138"/>
      <c r="H42" s="139">
        <f>'Result(P)'!C40</f>
        <v>-69056.56035</v>
      </c>
      <c r="I42" s="138"/>
      <c r="J42" s="135">
        <f t="shared" si="0"/>
        <v>-69056.56035</v>
      </c>
      <c r="K42" s="145">
        <v>0</v>
      </c>
    </row>
    <row r="43" spans="1:11" hidden="1" x14ac:dyDescent="0.3">
      <c r="A43" s="137" t="s">
        <v>3</v>
      </c>
      <c r="B43" s="145"/>
      <c r="C43" s="145"/>
      <c r="D43" s="145"/>
      <c r="E43" s="139"/>
      <c r="F43" s="139"/>
      <c r="G43" s="145"/>
      <c r="H43" s="144"/>
      <c r="I43" s="145"/>
      <c r="J43" s="135">
        <f t="shared" si="0"/>
        <v>0</v>
      </c>
      <c r="K43" s="145">
        <v>0</v>
      </c>
    </row>
    <row r="44" spans="1:11" hidden="1" x14ac:dyDescent="0.3">
      <c r="A44" s="141" t="s">
        <v>133</v>
      </c>
      <c r="B44" s="145"/>
      <c r="C44" s="145"/>
      <c r="D44" s="145"/>
      <c r="E44" s="138"/>
      <c r="F44" s="144"/>
      <c r="G44" s="145"/>
      <c r="H44" s="144"/>
      <c r="I44" s="145"/>
      <c r="J44" s="135">
        <f t="shared" si="0"/>
        <v>0</v>
      </c>
      <c r="K44" s="145">
        <v>0</v>
      </c>
    </row>
    <row r="45" spans="1:11" hidden="1" x14ac:dyDescent="0.3">
      <c r="A45" s="137" t="s">
        <v>125</v>
      </c>
      <c r="B45" s="145"/>
      <c r="C45" s="145"/>
      <c r="D45" s="145"/>
      <c r="E45" s="144"/>
      <c r="F45" s="138"/>
      <c r="G45" s="145"/>
      <c r="H45" s="138"/>
      <c r="I45" s="145"/>
      <c r="J45" s="135">
        <f t="shared" si="0"/>
        <v>0</v>
      </c>
      <c r="K45" s="145">
        <v>0</v>
      </c>
    </row>
    <row r="46" spans="1:11" hidden="1" x14ac:dyDescent="0.3">
      <c r="A46" s="137" t="s">
        <v>79</v>
      </c>
      <c r="B46" s="145"/>
      <c r="C46" s="145"/>
      <c r="D46" s="145"/>
      <c r="E46" s="144"/>
      <c r="F46" s="144"/>
      <c r="G46" s="145"/>
      <c r="H46" s="145"/>
      <c r="I46" s="145"/>
      <c r="J46" s="135">
        <f t="shared" si="0"/>
        <v>0</v>
      </c>
      <c r="K46" s="145">
        <v>0</v>
      </c>
    </row>
    <row r="47" spans="1:11" hidden="1" x14ac:dyDescent="0.3">
      <c r="A47" s="137"/>
      <c r="B47" s="145"/>
      <c r="C47" s="145"/>
      <c r="D47" s="145"/>
      <c r="E47" s="144"/>
      <c r="F47" s="144"/>
      <c r="G47" s="145"/>
      <c r="H47" s="145"/>
      <c r="I47" s="145"/>
      <c r="J47" s="135"/>
      <c r="K47" s="145"/>
    </row>
    <row r="48" spans="1:11" x14ac:dyDescent="0.3">
      <c r="A48" s="146" t="s">
        <v>311</v>
      </c>
      <c r="B48" s="147">
        <f>SUM(B30:B46)</f>
        <v>140375.576</v>
      </c>
      <c r="C48" s="147">
        <f>SUM(C26:C46)</f>
        <v>0</v>
      </c>
      <c r="D48" s="147">
        <f>SUM(D30:D46)</f>
        <v>26510.62615</v>
      </c>
      <c r="E48" s="147">
        <f>SUM(E26:E46)</f>
        <v>0</v>
      </c>
      <c r="F48" s="147">
        <f>SUM(F26:F46)</f>
        <v>0</v>
      </c>
      <c r="G48" s="147">
        <f>SUM(G26:G46)</f>
        <v>0</v>
      </c>
      <c r="H48" s="147">
        <f>SUM(H30:H46)</f>
        <v>-165777.60511</v>
      </c>
      <c r="I48" s="147">
        <f>SUM(I26:I46)</f>
        <v>0</v>
      </c>
      <c r="J48" s="147">
        <f>SUM(J30:J46)</f>
        <v>1108.5970400000078</v>
      </c>
      <c r="K48" s="147">
        <f>SUM(K26:K46)</f>
        <v>0</v>
      </c>
    </row>
    <row r="49" spans="1:11" hidden="1" x14ac:dyDescent="0.3">
      <c r="A49" s="151"/>
    </row>
    <row r="50" spans="1:11" x14ac:dyDescent="0.3">
      <c r="A50" s="146" t="s">
        <v>306</v>
      </c>
      <c r="B50" s="147">
        <f>SUM(B38:B42)</f>
        <v>58212</v>
      </c>
      <c r="C50" s="147">
        <f t="shared" ref="C50:J50" si="3">SUM(C38:C42)</f>
        <v>0</v>
      </c>
      <c r="D50" s="147">
        <f t="shared" si="3"/>
        <v>0</v>
      </c>
      <c r="E50" s="147">
        <f t="shared" si="3"/>
        <v>0</v>
      </c>
      <c r="F50" s="147">
        <f t="shared" si="3"/>
        <v>0</v>
      </c>
      <c r="G50" s="147">
        <f t="shared" si="3"/>
        <v>0</v>
      </c>
      <c r="H50" s="147">
        <f t="shared" si="3"/>
        <v>-69056.56035</v>
      </c>
      <c r="I50" s="147">
        <f t="shared" si="3"/>
        <v>0</v>
      </c>
      <c r="J50" s="147">
        <f t="shared" si="3"/>
        <v>-10844.56035</v>
      </c>
      <c r="K50" s="152"/>
    </row>
    <row r="51" spans="1:11" hidden="1" x14ac:dyDescent="0.3">
      <c r="A51" s="151"/>
      <c r="B51" s="152"/>
      <c r="C51" s="152"/>
      <c r="D51" s="152"/>
      <c r="E51" s="152"/>
      <c r="F51" s="152"/>
      <c r="G51" s="152"/>
      <c r="H51" s="152"/>
      <c r="I51" s="152"/>
      <c r="J51" s="152"/>
      <c r="K51" s="152"/>
    </row>
    <row r="52" spans="1:11" hidden="1" x14ac:dyDescent="0.3">
      <c r="A52" s="151"/>
      <c r="B52" s="152"/>
      <c r="C52" s="152"/>
      <c r="D52" s="152"/>
      <c r="E52" s="152"/>
      <c r="F52" s="152"/>
      <c r="G52" s="152"/>
      <c r="H52" s="152"/>
      <c r="I52" s="152"/>
      <c r="J52" s="152"/>
      <c r="K52" s="152"/>
    </row>
    <row r="53" spans="1:11" x14ac:dyDescent="0.3">
      <c r="A53" s="155" t="s">
        <v>129</v>
      </c>
      <c r="B53" s="156"/>
      <c r="C53" s="156"/>
      <c r="D53" s="156"/>
      <c r="E53" s="156"/>
      <c r="F53" s="156"/>
      <c r="G53" s="156"/>
      <c r="H53" s="157"/>
      <c r="K53" s="158"/>
    </row>
    <row r="54" spans="1:11" x14ac:dyDescent="0.3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</row>
  </sheetData>
  <phoneticPr fontId="0" type="noConversion"/>
  <pageMargins left="1" right="1" top="1" bottom="1" header="0.5" footer="0.5"/>
  <pageSetup paperSize="9" scale="57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A447-003C-4D81-B13E-717D73970B23}">
  <sheetPr>
    <tabColor theme="9" tint="-0.249977111117893"/>
    <pageSetUpPr fitToPage="1"/>
  </sheetPr>
  <dimension ref="A1:K69"/>
  <sheetViews>
    <sheetView showGridLines="0" tabSelected="1" view="pageBreakPreview" zoomScale="80" zoomScaleNormal="70" zoomScaleSheetLayoutView="80" workbookViewId="0">
      <pane xSplit="1" ySplit="6" topLeftCell="B41" activePane="bottomRight" state="frozen"/>
      <selection activeCell="I8" sqref="I8"/>
      <selection pane="topRight" activeCell="I8" sqref="I8"/>
      <selection pane="bottomLeft" activeCell="I8" sqref="I8"/>
      <selection pane="bottomRight" activeCell="D1" sqref="D1:E1048576"/>
    </sheetView>
  </sheetViews>
  <sheetFormatPr defaultColWidth="9.140625" defaultRowHeight="16.5" outlineLevelRow="1" x14ac:dyDescent="0.3"/>
  <cols>
    <col min="1" max="1" width="98.140625" style="180" bestFit="1" customWidth="1"/>
    <col min="2" max="3" width="14.7109375" style="181" customWidth="1"/>
    <col min="4" max="5" width="14.7109375" style="159" hidden="1" customWidth="1"/>
    <col min="6" max="6" width="9.140625" style="159"/>
    <col min="7" max="7" width="11.28515625" style="159" bestFit="1" customWidth="1"/>
    <col min="8" max="9" width="12.42578125" style="181" bestFit="1" customWidth="1"/>
    <col min="10" max="10" width="9.140625" style="159"/>
    <col min="11" max="11" width="11.28515625" style="181" bestFit="1" customWidth="1"/>
    <col min="12" max="16384" width="9.140625" style="159"/>
  </cols>
  <sheetData>
    <row r="1" spans="1:11" x14ac:dyDescent="0.3">
      <c r="A1" s="117" t="str">
        <f>Ativo!A1</f>
        <v>PROVU SERVICOS DE ADMINISTRACAO E CORRESPONDENTE BANCARIO S.A.</v>
      </c>
      <c r="B1" s="118"/>
      <c r="C1" s="118"/>
    </row>
    <row r="2" spans="1:11" x14ac:dyDescent="0.3">
      <c r="A2" s="117" t="s">
        <v>283</v>
      </c>
      <c r="B2" s="118"/>
      <c r="C2" s="118"/>
    </row>
    <row r="3" spans="1:11" x14ac:dyDescent="0.3">
      <c r="A3" s="117" t="str">
        <f>Ativo!A3</f>
        <v>CNPJ: 20.265.259/0001-71</v>
      </c>
      <c r="B3" s="120"/>
      <c r="C3" s="120"/>
    </row>
    <row r="4" spans="1:11" x14ac:dyDescent="0.3">
      <c r="A4" s="117" t="s">
        <v>116</v>
      </c>
      <c r="B4" s="160"/>
      <c r="C4" s="160"/>
    </row>
    <row r="5" spans="1:11" x14ac:dyDescent="0.3">
      <c r="A5" s="117" t="s">
        <v>322</v>
      </c>
      <c r="B5" s="161"/>
      <c r="C5" s="161"/>
    </row>
    <row r="6" spans="1:11" x14ac:dyDescent="0.3">
      <c r="A6" s="162"/>
      <c r="B6" s="163" t="str">
        <f>Ativo!C6</f>
        <v>2021</v>
      </c>
      <c r="C6" s="163" t="str">
        <f>Ativo!D6</f>
        <v>2020</v>
      </c>
    </row>
    <row r="7" spans="1:11" hidden="1" x14ac:dyDescent="0.3">
      <c r="A7" s="164"/>
      <c r="B7" s="152"/>
      <c r="C7" s="152"/>
    </row>
    <row r="8" spans="1:11" s="167" customFormat="1" x14ac:dyDescent="0.3">
      <c r="A8" s="165" t="s">
        <v>26</v>
      </c>
      <c r="B8" s="166"/>
      <c r="C8" s="166"/>
      <c r="H8" s="308"/>
      <c r="I8" s="308"/>
      <c r="K8" s="308"/>
    </row>
    <row r="9" spans="1:11" s="167" customFormat="1" x14ac:dyDescent="0.3">
      <c r="A9" s="165" t="s">
        <v>309</v>
      </c>
      <c r="B9" s="166">
        <f>'Result(P)'!C35</f>
        <v>-69056.56035</v>
      </c>
      <c r="C9" s="166">
        <f>'Result(P)'!D35</f>
        <v>-36938.412359999995</v>
      </c>
      <c r="E9" s="167">
        <f>ROUND(C9,0)</f>
        <v>-36938</v>
      </c>
      <c r="H9" s="308"/>
      <c r="I9" s="308"/>
      <c r="K9" s="308"/>
    </row>
    <row r="10" spans="1:11" hidden="1" x14ac:dyDescent="0.3">
      <c r="A10" s="164"/>
      <c r="B10" s="152"/>
      <c r="C10" s="152"/>
      <c r="D10" s="167"/>
      <c r="E10" s="167">
        <f t="shared" ref="E10:E21" si="0">ROUND(C10,0)</f>
        <v>0</v>
      </c>
    </row>
    <row r="11" spans="1:11" x14ac:dyDescent="0.3">
      <c r="A11" s="164" t="s">
        <v>197</v>
      </c>
      <c r="B11" s="168">
        <v>167.78424000000001</v>
      </c>
      <c r="C11" s="168">
        <v>120.01307</v>
      </c>
      <c r="D11" s="167"/>
      <c r="E11" s="167">
        <f t="shared" si="0"/>
        <v>120</v>
      </c>
    </row>
    <row r="12" spans="1:11" x14ac:dyDescent="0.3">
      <c r="A12" s="164" t="s">
        <v>198</v>
      </c>
      <c r="B12" s="168">
        <v>0</v>
      </c>
      <c r="C12" s="168">
        <v>224.16416000000001</v>
      </c>
      <c r="D12" s="167"/>
      <c r="E12" s="167">
        <f t="shared" si="0"/>
        <v>224</v>
      </c>
    </row>
    <row r="13" spans="1:11" x14ac:dyDescent="0.3">
      <c r="A13" s="164" t="s">
        <v>196</v>
      </c>
      <c r="B13" s="168">
        <v>374.63323000000003</v>
      </c>
      <c r="C13" s="168">
        <v>0</v>
      </c>
      <c r="D13" s="167"/>
      <c r="E13" s="167">
        <f t="shared" si="0"/>
        <v>0</v>
      </c>
    </row>
    <row r="14" spans="1:11" x14ac:dyDescent="0.3">
      <c r="A14" s="164" t="s">
        <v>199</v>
      </c>
      <c r="B14" s="168">
        <v>2.73536</v>
      </c>
      <c r="C14" s="168">
        <v>168</v>
      </c>
      <c r="D14" s="167"/>
      <c r="E14" s="167">
        <f t="shared" si="0"/>
        <v>168</v>
      </c>
    </row>
    <row r="15" spans="1:11" hidden="1" outlineLevel="1" x14ac:dyDescent="0.3">
      <c r="A15" s="164" t="s">
        <v>131</v>
      </c>
      <c r="B15" s="168">
        <v>0</v>
      </c>
      <c r="C15" s="168">
        <v>0</v>
      </c>
      <c r="D15" s="167"/>
      <c r="E15" s="167">
        <f t="shared" si="0"/>
        <v>0</v>
      </c>
    </row>
    <row r="16" spans="1:11" collapsed="1" x14ac:dyDescent="0.3">
      <c r="A16" s="164" t="s">
        <v>83</v>
      </c>
      <c r="B16" s="168">
        <v>1884.05745</v>
      </c>
      <c r="C16" s="168">
        <v>0</v>
      </c>
      <c r="D16" s="167"/>
      <c r="E16" s="167">
        <f t="shared" si="0"/>
        <v>0</v>
      </c>
    </row>
    <row r="17" spans="1:11" hidden="1" x14ac:dyDescent="0.3">
      <c r="A17" s="164" t="s">
        <v>128</v>
      </c>
      <c r="B17" s="168">
        <v>0</v>
      </c>
      <c r="C17" s="168">
        <v>0</v>
      </c>
      <c r="D17" s="167"/>
      <c r="E17" s="167">
        <f t="shared" si="0"/>
        <v>0</v>
      </c>
    </row>
    <row r="18" spans="1:11" hidden="1" outlineLevel="1" x14ac:dyDescent="0.3">
      <c r="A18" s="164" t="s">
        <v>130</v>
      </c>
      <c r="B18" s="168">
        <v>0</v>
      </c>
      <c r="C18" s="168">
        <v>0</v>
      </c>
      <c r="D18" s="167"/>
      <c r="E18" s="167">
        <f t="shared" si="0"/>
        <v>0</v>
      </c>
    </row>
    <row r="19" spans="1:11" hidden="1" outlineLevel="1" x14ac:dyDescent="0.3">
      <c r="A19" s="164" t="s">
        <v>105</v>
      </c>
      <c r="B19" s="168">
        <v>0</v>
      </c>
      <c r="C19" s="168">
        <v>0</v>
      </c>
      <c r="D19" s="167"/>
      <c r="E19" s="167">
        <f t="shared" si="0"/>
        <v>0</v>
      </c>
    </row>
    <row r="20" spans="1:11" hidden="1" outlineLevel="1" x14ac:dyDescent="0.3">
      <c r="A20" s="164" t="s">
        <v>112</v>
      </c>
      <c r="B20" s="168">
        <v>0</v>
      </c>
      <c r="C20" s="168">
        <v>0</v>
      </c>
      <c r="D20" s="167"/>
      <c r="E20" s="167">
        <f t="shared" si="0"/>
        <v>0</v>
      </c>
    </row>
    <row r="21" spans="1:11" collapsed="1" x14ac:dyDescent="0.3">
      <c r="A21" s="164" t="s">
        <v>177</v>
      </c>
      <c r="B21" s="168">
        <f>+Passivo!C19-Passivo!D19</f>
        <v>-171.81336999999999</v>
      </c>
      <c r="C21" s="168">
        <f>+Passivo!D19-Passivo!E19</f>
        <v>165.81336999999999</v>
      </c>
      <c r="D21" s="167"/>
      <c r="E21" s="167">
        <f t="shared" si="0"/>
        <v>166</v>
      </c>
    </row>
    <row r="22" spans="1:11" hidden="1" outlineLevel="1" x14ac:dyDescent="0.3">
      <c r="A22" s="169" t="s">
        <v>123</v>
      </c>
      <c r="B22" s="168">
        <v>0</v>
      </c>
      <c r="C22" s="168">
        <v>0</v>
      </c>
      <c r="E22" s="167"/>
    </row>
    <row r="23" spans="1:11" hidden="1" outlineLevel="1" x14ac:dyDescent="0.3">
      <c r="A23" s="164" t="s">
        <v>5</v>
      </c>
      <c r="B23" s="168">
        <v>0</v>
      </c>
      <c r="C23" s="168">
        <v>0</v>
      </c>
      <c r="E23" s="167"/>
    </row>
    <row r="24" spans="1:11" s="167" customFormat="1" collapsed="1" x14ac:dyDescent="0.3">
      <c r="A24" s="165" t="s">
        <v>312</v>
      </c>
      <c r="B24" s="318">
        <f>SUM(B9:B21)</f>
        <v>-66799.163440000004</v>
      </c>
      <c r="C24" s="318">
        <f>SUM(C9:C21)</f>
        <v>-36260.42175999999</v>
      </c>
      <c r="D24" s="167">
        <f>ROUND(B24,0)</f>
        <v>-66799</v>
      </c>
      <c r="H24" s="308"/>
      <c r="I24" s="308"/>
      <c r="K24" s="308"/>
    </row>
    <row r="25" spans="1:11" hidden="1" x14ac:dyDescent="0.3">
      <c r="A25" s="164"/>
      <c r="B25" s="168"/>
      <c r="C25" s="168"/>
    </row>
    <row r="26" spans="1:11" x14ac:dyDescent="0.3">
      <c r="A26" s="165" t="s">
        <v>84</v>
      </c>
      <c r="B26" s="170"/>
      <c r="C26" s="170"/>
    </row>
    <row r="27" spans="1:11" x14ac:dyDescent="0.3">
      <c r="A27" s="164" t="s">
        <v>190</v>
      </c>
      <c r="B27" s="168">
        <f>+Ativo!D9-Ativo!C9+Ativo!D10-Ativo!C10-B13</f>
        <v>-1450.6877899999999</v>
      </c>
      <c r="C27" s="168">
        <v>180</v>
      </c>
      <c r="D27" s="159">
        <f>ROUND(B27,0)</f>
        <v>-1451</v>
      </c>
      <c r="E27" s="159">
        <f>ROUND(C27,0)</f>
        <v>180</v>
      </c>
    </row>
    <row r="28" spans="1:11" x14ac:dyDescent="0.3">
      <c r="A28" s="164" t="s">
        <v>170</v>
      </c>
      <c r="B28" s="168">
        <f>+Ativo!D11-Ativo!C11</f>
        <v>-79.130319999999983</v>
      </c>
      <c r="C28" s="168">
        <v>-742</v>
      </c>
      <c r="D28" s="159">
        <f t="shared" ref="D28:D36" si="1">ROUND(B28,0)</f>
        <v>-79</v>
      </c>
      <c r="E28" s="159">
        <f t="shared" ref="E28:E36" si="2">ROUND(C28,0)</f>
        <v>-742</v>
      </c>
    </row>
    <row r="29" spans="1:11" x14ac:dyDescent="0.3">
      <c r="A29" s="164" t="s">
        <v>191</v>
      </c>
      <c r="B29" s="168">
        <f>+Ativo!D12-Ativo!C12</f>
        <v>0</v>
      </c>
      <c r="C29" s="168">
        <f>+Ativo!E12-Ativo!D12</f>
        <v>197.46972</v>
      </c>
      <c r="D29" s="159">
        <f t="shared" si="1"/>
        <v>0</v>
      </c>
      <c r="E29" s="159">
        <f t="shared" si="2"/>
        <v>197</v>
      </c>
    </row>
    <row r="30" spans="1:11" x14ac:dyDescent="0.3">
      <c r="A30" s="164" t="s">
        <v>192</v>
      </c>
      <c r="B30" s="168">
        <f>+Ativo!D13-Ativo!C13</f>
        <v>-390.34602000000001</v>
      </c>
      <c r="C30" s="168">
        <f>+Ativo!E13-Ativo!D13</f>
        <v>-6.4279200000000003</v>
      </c>
      <c r="D30" s="159">
        <f t="shared" si="1"/>
        <v>-390</v>
      </c>
      <c r="E30" s="159">
        <f t="shared" si="2"/>
        <v>-6</v>
      </c>
    </row>
    <row r="31" spans="1:11" hidden="1" x14ac:dyDescent="0.3">
      <c r="A31" s="164" t="s">
        <v>193</v>
      </c>
      <c r="B31" s="168">
        <f>+Ativo!D14-Ativo!C14+Ativo!D24-Ativo!C24</f>
        <v>0</v>
      </c>
      <c r="C31" s="168">
        <f>+Ativo!E14-Ativo!D14+Ativo!E24-Ativo!D24</f>
        <v>0</v>
      </c>
      <c r="D31" s="159">
        <f t="shared" si="1"/>
        <v>0</v>
      </c>
      <c r="E31" s="159">
        <f t="shared" si="2"/>
        <v>0</v>
      </c>
    </row>
    <row r="32" spans="1:11" hidden="1" x14ac:dyDescent="0.3">
      <c r="A32" s="164" t="s">
        <v>194</v>
      </c>
      <c r="B32" s="168">
        <f>+Ativo!D15-Ativo!C15</f>
        <v>0</v>
      </c>
      <c r="C32" s="168">
        <f>+Ativo!E15-Ativo!D15</f>
        <v>0</v>
      </c>
      <c r="D32" s="159">
        <f t="shared" si="1"/>
        <v>0</v>
      </c>
      <c r="E32" s="159">
        <f t="shared" si="2"/>
        <v>0</v>
      </c>
    </row>
    <row r="33" spans="1:11" x14ac:dyDescent="0.3">
      <c r="A33" s="169" t="s">
        <v>171</v>
      </c>
      <c r="B33" s="168">
        <f>+Passivo!C9-Passivo!D9</f>
        <v>1627.69859</v>
      </c>
      <c r="C33" s="168">
        <f>+Passivo!D9-Passivo!E9</f>
        <v>22.997769999999946</v>
      </c>
      <c r="D33" s="159">
        <f t="shared" si="1"/>
        <v>1628</v>
      </c>
      <c r="E33" s="159">
        <f t="shared" si="2"/>
        <v>23</v>
      </c>
    </row>
    <row r="34" spans="1:11" x14ac:dyDescent="0.3">
      <c r="A34" s="169" t="s">
        <v>172</v>
      </c>
      <c r="B34" s="168">
        <f>+Passivo!C10-Passivo!D10</f>
        <v>2044.9531099999999</v>
      </c>
      <c r="C34" s="168">
        <f>+Passivo!D10-Passivo!E10</f>
        <v>714.08222999999998</v>
      </c>
      <c r="D34" s="159">
        <f t="shared" si="1"/>
        <v>2045</v>
      </c>
      <c r="E34" s="159">
        <f>ROUND(C34,0)</f>
        <v>714</v>
      </c>
    </row>
    <row r="35" spans="1:11" x14ac:dyDescent="0.3">
      <c r="A35" s="169" t="s">
        <v>173</v>
      </c>
      <c r="B35" s="168">
        <f>+Passivo!C12-Passivo!D12</f>
        <v>159.39610999999999</v>
      </c>
      <c r="C35" s="168">
        <f>+Passivo!D12-Passivo!E12</f>
        <v>-2.9892100000000141</v>
      </c>
      <c r="D35" s="159">
        <f t="shared" si="1"/>
        <v>159</v>
      </c>
      <c r="E35" s="159">
        <f t="shared" si="2"/>
        <v>-3</v>
      </c>
    </row>
    <row r="36" spans="1:11" x14ac:dyDescent="0.3">
      <c r="A36" s="169" t="s">
        <v>224</v>
      </c>
      <c r="B36" s="168">
        <f>+Passivo!C11-Passivo!D11</f>
        <v>4546.2487299999993</v>
      </c>
      <c r="C36" s="168">
        <f>+Passivo!D11-Passivo!E11</f>
        <v>3062.0739699999999</v>
      </c>
      <c r="D36" s="159">
        <f t="shared" si="1"/>
        <v>4546</v>
      </c>
      <c r="E36" s="159">
        <f t="shared" si="2"/>
        <v>3062</v>
      </c>
    </row>
    <row r="37" spans="1:11" hidden="1" x14ac:dyDescent="0.3">
      <c r="A37" s="164"/>
      <c r="B37" s="168"/>
      <c r="C37" s="168"/>
    </row>
    <row r="38" spans="1:11" ht="17.25" thickBot="1" x14ac:dyDescent="0.35">
      <c r="A38" s="165" t="s">
        <v>313</v>
      </c>
      <c r="B38" s="171">
        <f>SUM(B24,B27:B37)-1</f>
        <v>-60342.031029999991</v>
      </c>
      <c r="C38" s="171">
        <f>SUM(C24,C27:C37)</f>
        <v>-32835.215199999991</v>
      </c>
      <c r="E38" s="159">
        <f>SUM(E9:E36)</f>
        <v>-32835</v>
      </c>
    </row>
    <row r="39" spans="1:11" s="167" customFormat="1" ht="17.25" hidden="1" thickTop="1" x14ac:dyDescent="0.3">
      <c r="A39" s="164"/>
      <c r="B39" s="168"/>
      <c r="C39" s="168"/>
      <c r="H39" s="308"/>
      <c r="I39" s="308"/>
      <c r="K39" s="308"/>
    </row>
    <row r="40" spans="1:11" ht="17.25" thickTop="1" x14ac:dyDescent="0.3">
      <c r="A40" s="165" t="s">
        <v>28</v>
      </c>
      <c r="B40" s="168"/>
      <c r="C40" s="168"/>
    </row>
    <row r="41" spans="1:11" x14ac:dyDescent="0.3">
      <c r="A41" s="164" t="s">
        <v>85</v>
      </c>
      <c r="B41" s="168"/>
      <c r="C41" s="168"/>
    </row>
    <row r="42" spans="1:11" x14ac:dyDescent="0.3">
      <c r="A42" s="164" t="s">
        <v>86</v>
      </c>
      <c r="B42" s="168">
        <f>+Passivo!C20-Passivo!D20-B15</f>
        <v>-9</v>
      </c>
      <c r="C42" s="168">
        <v>-2</v>
      </c>
      <c r="D42" s="159">
        <f t="shared" ref="D42:E47" si="3">ROUND(B42,0)</f>
        <v>-9</v>
      </c>
      <c r="E42" s="159">
        <f t="shared" si="3"/>
        <v>-2</v>
      </c>
    </row>
    <row r="43" spans="1:11" hidden="1" outlineLevel="1" x14ac:dyDescent="0.3">
      <c r="A43" s="164" t="s">
        <v>87</v>
      </c>
      <c r="B43" s="168"/>
      <c r="C43" s="168">
        <v>0</v>
      </c>
      <c r="D43" s="159">
        <f t="shared" si="3"/>
        <v>0</v>
      </c>
      <c r="E43" s="159">
        <f t="shared" si="3"/>
        <v>0</v>
      </c>
    </row>
    <row r="44" spans="1:11" collapsed="1" x14ac:dyDescent="0.3">
      <c r="A44" s="164" t="s">
        <v>88</v>
      </c>
      <c r="B44" s="172"/>
      <c r="C44" s="168">
        <v>0</v>
      </c>
      <c r="D44" s="159">
        <f t="shared" si="3"/>
        <v>0</v>
      </c>
      <c r="E44" s="159">
        <f t="shared" si="3"/>
        <v>0</v>
      </c>
    </row>
    <row r="45" spans="1:11" x14ac:dyDescent="0.3">
      <c r="A45" s="164" t="s">
        <v>86</v>
      </c>
      <c r="B45" s="168">
        <f>+Ativo!D26-Ativo!C26-B16</f>
        <v>-3000.1</v>
      </c>
      <c r="C45" s="168">
        <v>0</v>
      </c>
      <c r="D45" s="159">
        <f t="shared" si="3"/>
        <v>-3000</v>
      </c>
      <c r="E45" s="159">
        <f t="shared" si="3"/>
        <v>0</v>
      </c>
    </row>
    <row r="46" spans="1:11" x14ac:dyDescent="0.3">
      <c r="A46" s="164" t="s">
        <v>87</v>
      </c>
      <c r="B46" s="168">
        <f>+Ativo!D27-Ativo!C27-B11-B14</f>
        <v>-2857.45372</v>
      </c>
      <c r="C46" s="168">
        <v>-392</v>
      </c>
      <c r="D46" s="159">
        <f t="shared" si="3"/>
        <v>-2857</v>
      </c>
      <c r="E46" s="159">
        <f t="shared" si="3"/>
        <v>-392</v>
      </c>
    </row>
    <row r="47" spans="1:11" x14ac:dyDescent="0.3">
      <c r="A47" s="164" t="s">
        <v>110</v>
      </c>
      <c r="B47" s="168">
        <f>+Ativo!D28-Ativo!C28-B12</f>
        <v>0</v>
      </c>
      <c r="C47" s="168">
        <v>-222</v>
      </c>
      <c r="D47" s="159">
        <f t="shared" si="3"/>
        <v>0</v>
      </c>
      <c r="E47" s="159">
        <f t="shared" si="3"/>
        <v>-222</v>
      </c>
    </row>
    <row r="48" spans="1:11" hidden="1" outlineLevel="1" x14ac:dyDescent="0.3">
      <c r="A48" s="164" t="s">
        <v>114</v>
      </c>
      <c r="B48" s="168"/>
      <c r="C48" s="168"/>
    </row>
    <row r="49" spans="1:11" hidden="1" outlineLevel="1" x14ac:dyDescent="0.3">
      <c r="A49" s="164" t="s">
        <v>89</v>
      </c>
      <c r="B49" s="172"/>
      <c r="C49" s="172"/>
    </row>
    <row r="50" spans="1:11" hidden="1" collapsed="1" x14ac:dyDescent="0.3">
      <c r="A50" s="164"/>
      <c r="B50" s="168"/>
      <c r="C50" s="168"/>
    </row>
    <row r="51" spans="1:11" x14ac:dyDescent="0.3">
      <c r="A51" s="165" t="s">
        <v>314</v>
      </c>
      <c r="B51" s="173">
        <f>SUM(B39:B50)+1</f>
        <v>-5865.5537199999999</v>
      </c>
      <c r="C51" s="173">
        <f t="shared" ref="C51" si="4">SUM(C39:C50)</f>
        <v>-616</v>
      </c>
    </row>
    <row r="52" spans="1:11" s="167" customFormat="1" hidden="1" x14ac:dyDescent="0.3">
      <c r="A52" s="164"/>
      <c r="B52" s="168"/>
      <c r="C52" s="168"/>
      <c r="H52" s="308"/>
      <c r="I52" s="308"/>
      <c r="K52" s="308"/>
    </row>
    <row r="53" spans="1:11" x14ac:dyDescent="0.3">
      <c r="A53" s="165" t="s">
        <v>30</v>
      </c>
      <c r="B53" s="168"/>
      <c r="C53" s="168"/>
    </row>
    <row r="54" spans="1:11" x14ac:dyDescent="0.3">
      <c r="A54" s="164" t="s">
        <v>90</v>
      </c>
      <c r="B54" s="168">
        <f>+Mutações!B38</f>
        <v>58212</v>
      </c>
      <c r="C54" s="168">
        <f>+Mutações!B16+Mutações!D16</f>
        <v>48345.9</v>
      </c>
      <c r="D54" s="159">
        <f t="shared" ref="D54:E56" si="5">ROUND(B54,0)</f>
        <v>58212</v>
      </c>
      <c r="E54" s="159">
        <f t="shared" si="5"/>
        <v>48346</v>
      </c>
    </row>
    <row r="55" spans="1:11" x14ac:dyDescent="0.3">
      <c r="A55" s="164" t="s">
        <v>176</v>
      </c>
      <c r="B55" s="168">
        <f>+Ativo!D22-Ativo!C22+Passivo!C21-Passivo!D21</f>
        <v>-728.30744000000004</v>
      </c>
      <c r="C55" s="168">
        <f>+Ativo!E22-Ativo!D22+Passivo!D21-Passivo!E21</f>
        <v>0</v>
      </c>
      <c r="D55" s="159">
        <f t="shared" si="5"/>
        <v>-728</v>
      </c>
      <c r="E55" s="159">
        <f t="shared" si="5"/>
        <v>0</v>
      </c>
    </row>
    <row r="56" spans="1:11" x14ac:dyDescent="0.3">
      <c r="A56" s="164" t="s">
        <v>195</v>
      </c>
      <c r="B56" s="168">
        <f>+Passivo!C15-Passivo!D15</f>
        <v>16</v>
      </c>
      <c r="C56" s="168">
        <f>+Passivo!D15-Passivo!E15</f>
        <v>0</v>
      </c>
      <c r="D56" s="159">
        <f t="shared" si="5"/>
        <v>16</v>
      </c>
      <c r="E56" s="159">
        <f t="shared" si="5"/>
        <v>0</v>
      </c>
    </row>
    <row r="57" spans="1:11" hidden="1" outlineLevel="1" x14ac:dyDescent="0.3">
      <c r="A57" s="164" t="s">
        <v>81</v>
      </c>
      <c r="B57" s="168">
        <v>0</v>
      </c>
      <c r="C57" s="168">
        <v>0</v>
      </c>
    </row>
    <row r="58" spans="1:11" hidden="1" outlineLevel="1" x14ac:dyDescent="0.3">
      <c r="A58" s="164" t="s">
        <v>111</v>
      </c>
      <c r="B58" s="168"/>
      <c r="C58" s="168"/>
    </row>
    <row r="59" spans="1:11" hidden="1" collapsed="1" x14ac:dyDescent="0.3">
      <c r="A59" s="164"/>
      <c r="B59" s="168"/>
      <c r="C59" s="168"/>
    </row>
    <row r="60" spans="1:11" x14ac:dyDescent="0.3">
      <c r="A60" s="165" t="s">
        <v>315</v>
      </c>
      <c r="B60" s="173">
        <f>SUM(B54:B59)</f>
        <v>57499.692560000003</v>
      </c>
      <c r="C60" s="173">
        <f>SUM(C54:C59)</f>
        <v>48345.9</v>
      </c>
    </row>
    <row r="61" spans="1:11" hidden="1" x14ac:dyDescent="0.3">
      <c r="A61" s="164"/>
      <c r="B61" s="168"/>
      <c r="C61" s="168"/>
    </row>
    <row r="62" spans="1:11" x14ac:dyDescent="0.3">
      <c r="A62" s="174" t="s">
        <v>32</v>
      </c>
      <c r="B62" s="175">
        <f>SUM(B38,B51,B60)</f>
        <v>-8707.8921899999914</v>
      </c>
      <c r="C62" s="175">
        <f t="shared" ref="C62" si="6">SUM(C38,C51,C60)</f>
        <v>14894.68480000001</v>
      </c>
    </row>
    <row r="63" spans="1:11" s="167" customFormat="1" hidden="1" x14ac:dyDescent="0.3">
      <c r="A63" s="174"/>
      <c r="B63" s="176"/>
      <c r="C63" s="176"/>
      <c r="H63" s="308"/>
      <c r="I63" s="308"/>
      <c r="K63" s="308"/>
    </row>
    <row r="64" spans="1:11" s="167" customFormat="1" x14ac:dyDescent="0.3">
      <c r="A64" s="164" t="s">
        <v>174</v>
      </c>
      <c r="B64" s="152">
        <f>+C65</f>
        <v>16856.006430000001</v>
      </c>
      <c r="C64" s="152">
        <f>Ativo!E8</f>
        <v>1960.7949000000001</v>
      </c>
      <c r="D64" s="159">
        <f t="shared" ref="D64:D65" si="7">ROUND(B64,0)</f>
        <v>16856</v>
      </c>
      <c r="H64" s="308"/>
      <c r="I64" s="308"/>
      <c r="K64" s="308"/>
    </row>
    <row r="65" spans="1:4" x14ac:dyDescent="0.3">
      <c r="A65" s="177" t="s">
        <v>175</v>
      </c>
      <c r="B65" s="154">
        <f>+Ativo!C8</f>
        <v>8148.2813599999999</v>
      </c>
      <c r="C65" s="154">
        <f>+Ativo!D8</f>
        <v>16856.006430000001</v>
      </c>
      <c r="D65" s="159">
        <f t="shared" si="7"/>
        <v>8148</v>
      </c>
    </row>
    <row r="66" spans="1:4" hidden="1" x14ac:dyDescent="0.3">
      <c r="A66" s="164"/>
      <c r="B66" s="152"/>
      <c r="C66" s="152"/>
      <c r="D66" s="159">
        <f>D64-D65</f>
        <v>8708</v>
      </c>
    </row>
    <row r="67" spans="1:4" hidden="1" x14ac:dyDescent="0.3">
      <c r="A67" s="165"/>
      <c r="B67" s="152"/>
      <c r="C67" s="152"/>
    </row>
    <row r="68" spans="1:4" hidden="1" x14ac:dyDescent="0.3">
      <c r="A68" s="165"/>
      <c r="B68" s="152"/>
      <c r="C68" s="152"/>
    </row>
    <row r="69" spans="1:4" x14ac:dyDescent="0.3">
      <c r="A69" s="178" t="s">
        <v>129</v>
      </c>
      <c r="B69" s="139"/>
      <c r="C69" s="179"/>
    </row>
  </sheetData>
  <pageMargins left="1" right="1" top="1" bottom="1" header="0.5" footer="0.5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7E439-ECC3-4C7F-BA3A-47D18902ABD5}">
  <sheetPr>
    <tabColor rgb="FF00FFFF"/>
  </sheetPr>
  <dimension ref="A1:C7"/>
  <sheetViews>
    <sheetView showGridLines="0" zoomScale="80" zoomScaleNormal="80" workbookViewId="0">
      <selection activeCell="C4" sqref="C4"/>
    </sheetView>
  </sheetViews>
  <sheetFormatPr defaultRowHeight="12.75" x14ac:dyDescent="0.2"/>
  <cols>
    <col min="1" max="1" width="43.85546875" bestFit="1" customWidth="1"/>
    <col min="2" max="2" width="11.28515625" bestFit="1" customWidth="1"/>
    <col min="3" max="3" width="12.7109375" bestFit="1" customWidth="1"/>
  </cols>
  <sheetData>
    <row r="1" spans="1:3" ht="15.75" thickBot="1" x14ac:dyDescent="0.35">
      <c r="A1" s="116"/>
      <c r="B1" s="242">
        <v>2021</v>
      </c>
      <c r="C1" s="243">
        <v>2020</v>
      </c>
    </row>
    <row r="2" spans="1:3" ht="15" x14ac:dyDescent="0.2">
      <c r="A2" s="244" t="s">
        <v>225</v>
      </c>
      <c r="B2" s="245">
        <v>1169.07</v>
      </c>
      <c r="C2" s="246">
        <v>24860.28</v>
      </c>
    </row>
    <row r="3" spans="1:3" ht="15" x14ac:dyDescent="0.2">
      <c r="A3" s="244" t="s">
        <v>227</v>
      </c>
      <c r="B3" s="245">
        <v>0</v>
      </c>
      <c r="C3" s="246">
        <v>6951.18</v>
      </c>
    </row>
    <row r="4" spans="1:3" ht="15" x14ac:dyDescent="0.2">
      <c r="A4" s="244" t="s">
        <v>226</v>
      </c>
      <c r="B4" s="245">
        <v>8147112.29</v>
      </c>
      <c r="C4" s="246">
        <v>13757628.4</v>
      </c>
    </row>
    <row r="5" spans="1:3" ht="15.75" thickBot="1" x14ac:dyDescent="0.25">
      <c r="A5" s="244" t="s">
        <v>228</v>
      </c>
      <c r="B5" s="245">
        <v>0</v>
      </c>
      <c r="C5" s="246">
        <v>3066566.57</v>
      </c>
    </row>
    <row r="6" spans="1:3" ht="15.75" thickBot="1" x14ac:dyDescent="0.35">
      <c r="A6" s="116"/>
      <c r="B6" s="247">
        <f>SUM(B2:B5)</f>
        <v>8148281.3600000003</v>
      </c>
      <c r="C6" s="247">
        <f>SUM(C2:C5)</f>
        <v>16856006.43</v>
      </c>
    </row>
    <row r="7" spans="1:3" ht="13.5" thickTop="1" x14ac:dyDescent="0.2"/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8B22-DB2D-4136-9B32-1C0DF8CAD517}">
  <sheetPr>
    <tabColor rgb="FF00FFFF"/>
  </sheetPr>
  <dimension ref="A1:H18"/>
  <sheetViews>
    <sheetView showGridLines="0" zoomScale="80" zoomScaleNormal="80" workbookViewId="0">
      <selection activeCell="C4" sqref="C4"/>
    </sheetView>
  </sheetViews>
  <sheetFormatPr defaultColWidth="9.140625" defaultRowHeight="12.75" x14ac:dyDescent="0.2"/>
  <cols>
    <col min="1" max="1" width="25.140625" style="272" bestFit="1" customWidth="1"/>
    <col min="2" max="3" width="13.7109375" style="272" customWidth="1"/>
    <col min="4" max="16384" width="9.140625" style="272"/>
  </cols>
  <sheetData>
    <row r="1" spans="1:8" ht="15.75" thickBot="1" x14ac:dyDescent="0.25">
      <c r="A1" s="254"/>
      <c r="B1" s="243">
        <v>2021</v>
      </c>
      <c r="C1" s="243">
        <v>2020</v>
      </c>
    </row>
    <row r="2" spans="1:8" ht="15" x14ac:dyDescent="0.2">
      <c r="A2" s="254" t="s">
        <v>201</v>
      </c>
      <c r="B2" s="273">
        <v>1606267.72</v>
      </c>
      <c r="C2" s="255">
        <v>634822.94999999995</v>
      </c>
    </row>
    <row r="3" spans="1:8" ht="15.75" thickBot="1" x14ac:dyDescent="0.25">
      <c r="A3" s="254" t="s">
        <v>241</v>
      </c>
      <c r="B3" s="273">
        <v>104309.79</v>
      </c>
      <c r="C3" s="255">
        <v>0</v>
      </c>
    </row>
    <row r="4" spans="1:8" ht="15" x14ac:dyDescent="0.3">
      <c r="A4" s="271"/>
      <c r="B4" s="274">
        <f>SUM(B2:B3)</f>
        <v>1710577.51</v>
      </c>
      <c r="C4" s="274">
        <f>SUM(C2:C3)</f>
        <v>634822.94999999995</v>
      </c>
    </row>
    <row r="5" spans="1:8" ht="15" x14ac:dyDescent="0.2">
      <c r="A5" s="257"/>
    </row>
    <row r="6" spans="1:8" ht="15.75" thickBot="1" x14ac:dyDescent="0.25">
      <c r="A6" s="254" t="s">
        <v>200</v>
      </c>
      <c r="B6" s="243">
        <v>2021</v>
      </c>
      <c r="C6" s="243">
        <v>2020</v>
      </c>
    </row>
    <row r="7" spans="1:8" ht="15.75" thickBot="1" x14ac:dyDescent="0.25">
      <c r="A7" s="254" t="s">
        <v>229</v>
      </c>
      <c r="B7" s="273">
        <f>B4</f>
        <v>1710577.51</v>
      </c>
      <c r="C7" s="273">
        <f>C4</f>
        <v>634822.94999999995</v>
      </c>
      <c r="D7" s="275"/>
      <c r="E7" s="275"/>
      <c r="F7" s="275"/>
      <c r="G7" s="275"/>
      <c r="H7" s="275"/>
    </row>
    <row r="8" spans="1:8" ht="15" x14ac:dyDescent="0.2">
      <c r="A8" s="254"/>
      <c r="B8" s="274">
        <f>SUM(B7:B7)</f>
        <v>1710577.51</v>
      </c>
      <c r="C8" s="274">
        <f>SUM(C7:C7)</f>
        <v>634822.94999999995</v>
      </c>
      <c r="D8" s="275"/>
      <c r="E8" s="275"/>
      <c r="F8" s="275"/>
      <c r="G8" s="275"/>
      <c r="H8" s="275"/>
    </row>
    <row r="9" spans="1:8" ht="15" x14ac:dyDescent="0.2">
      <c r="A9" s="254"/>
      <c r="B9" s="276"/>
      <c r="C9" s="273"/>
      <c r="D9" s="275"/>
      <c r="E9" s="275"/>
      <c r="F9" s="275"/>
      <c r="G9" s="275"/>
      <c r="H9" s="275"/>
    </row>
    <row r="10" spans="1:8" ht="15" x14ac:dyDescent="0.3">
      <c r="A10" s="257"/>
      <c r="B10" s="277"/>
      <c r="C10" s="277"/>
      <c r="D10" s="275"/>
      <c r="E10" s="275"/>
      <c r="F10" s="275"/>
      <c r="G10" s="275"/>
      <c r="H10" s="275"/>
    </row>
    <row r="11" spans="1:8" ht="15" x14ac:dyDescent="0.3">
      <c r="A11" s="257"/>
      <c r="B11" s="277"/>
      <c r="C11" s="277"/>
      <c r="D11" s="275"/>
      <c r="E11" s="275"/>
      <c r="F11" s="275"/>
      <c r="G11" s="275"/>
      <c r="H11" s="275"/>
    </row>
    <row r="12" spans="1:8" x14ac:dyDescent="0.2">
      <c r="B12" s="275"/>
      <c r="C12" s="275"/>
      <c r="D12" s="275"/>
      <c r="E12" s="275"/>
      <c r="F12" s="275"/>
      <c r="G12" s="275"/>
      <c r="H12" s="275"/>
    </row>
    <row r="13" spans="1:8" x14ac:dyDescent="0.2">
      <c r="B13" s="275"/>
      <c r="C13" s="275"/>
      <c r="D13" s="275"/>
      <c r="E13" s="275"/>
      <c r="F13" s="275"/>
      <c r="G13" s="275"/>
      <c r="H13" s="275"/>
    </row>
    <row r="14" spans="1:8" x14ac:dyDescent="0.2">
      <c r="B14" s="275"/>
      <c r="C14" s="275"/>
      <c r="D14" s="275"/>
      <c r="E14" s="275"/>
      <c r="F14" s="275"/>
      <c r="G14" s="275"/>
      <c r="H14" s="275"/>
    </row>
    <row r="15" spans="1:8" x14ac:dyDescent="0.2">
      <c r="B15" s="275"/>
      <c r="C15" s="275"/>
      <c r="D15" s="275"/>
      <c r="E15" s="275"/>
      <c r="F15" s="275"/>
      <c r="G15" s="275"/>
      <c r="H15" s="275"/>
    </row>
    <row r="16" spans="1:8" x14ac:dyDescent="0.2">
      <c r="B16" s="275"/>
      <c r="C16" s="275"/>
      <c r="D16" s="275"/>
      <c r="E16" s="275"/>
      <c r="F16" s="275"/>
      <c r="G16" s="275"/>
      <c r="H16" s="275"/>
    </row>
    <row r="17" spans="2:8" x14ac:dyDescent="0.2">
      <c r="B17" s="275"/>
      <c r="C17" s="275"/>
      <c r="D17" s="275"/>
      <c r="E17" s="275"/>
      <c r="F17" s="275"/>
      <c r="G17" s="275"/>
      <c r="H17" s="275"/>
    </row>
    <row r="18" spans="2:8" x14ac:dyDescent="0.2">
      <c r="B18" s="275"/>
      <c r="C18" s="275"/>
      <c r="D18" s="275"/>
      <c r="E18" s="275"/>
      <c r="F18" s="275"/>
      <c r="G18" s="275"/>
      <c r="H18" s="27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7</vt:i4>
      </vt:variant>
    </vt:vector>
  </HeadingPairs>
  <TitlesOfParts>
    <vt:vector size="30" baseType="lpstr">
      <vt:lpstr>DFC_Dir</vt:lpstr>
      <vt:lpstr>Ativo</vt:lpstr>
      <vt:lpstr>Passivo</vt:lpstr>
      <vt:lpstr>Result(P)</vt:lpstr>
      <vt:lpstr>Abrang</vt:lpstr>
      <vt:lpstr>Mutações</vt:lpstr>
      <vt:lpstr>DFC</vt:lpstr>
      <vt:lpstr>nota disponibilidades</vt:lpstr>
      <vt:lpstr>nota contas a receber</vt:lpstr>
      <vt:lpstr>nota impostos a recuperar</vt:lpstr>
      <vt:lpstr>nota adiantamento</vt:lpstr>
      <vt:lpstr>nota mutuo</vt:lpstr>
      <vt:lpstr>nota investimento</vt:lpstr>
      <vt:lpstr>nota imobilizado</vt:lpstr>
      <vt:lpstr>nota fornecedores</vt:lpstr>
      <vt:lpstr>nota obrig. trabalhistas</vt:lpstr>
      <vt:lpstr>nota obrig. tributaria</vt:lpstr>
      <vt:lpstr>nota receita</vt:lpstr>
      <vt:lpstr>nota custos</vt:lpstr>
      <vt:lpstr>nota desp. comercial</vt:lpstr>
      <vt:lpstr>nota desp. pessoal</vt:lpstr>
      <vt:lpstr>nota desp. adm</vt:lpstr>
      <vt:lpstr>Desp.-rec. financeira</vt:lpstr>
      <vt:lpstr>Abrang!Area_de_impressao</vt:lpstr>
      <vt:lpstr>Ativo!Area_de_impressao</vt:lpstr>
      <vt:lpstr>DFC!Area_de_impressao</vt:lpstr>
      <vt:lpstr>DFC_Dir!Area_de_impressao</vt:lpstr>
      <vt:lpstr>Mutações!Area_de_impressao</vt:lpstr>
      <vt:lpstr>Passivo!Area_de_impressao</vt:lpstr>
      <vt:lpstr>'Result(P)'!Area_de_impressao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InfoBanc Sistemas S/C Ltda.</dc:creator>
  <cp:lastModifiedBy>Nicola Marano</cp:lastModifiedBy>
  <cp:lastPrinted>2022-01-13T21:12:22Z</cp:lastPrinted>
  <dcterms:created xsi:type="dcterms:W3CDTF">1998-11-18T13:26:48Z</dcterms:created>
  <dcterms:modified xsi:type="dcterms:W3CDTF">2022-05-31T14:06:19Z</dcterms:modified>
</cp:coreProperties>
</file>